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Sheet1!$A$2:$P$1455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<sst xmlns="http://schemas.openxmlformats.org/spreadsheetml/2006/main" count="9050" uniqueCount="4435">
  <si>
    <t>珠海市中西医结合医院2026年6月30日执行血液系统类等11批《立项指南》医疗服务价格项目公示表</t>
  </si>
  <si>
    <t>序号</t>
  </si>
  <si>
    <t>财务分类</t>
  </si>
  <si>
    <t>项目代码</t>
  </si>
  <si>
    <t>项目名称</t>
  </si>
  <si>
    <t>服务产出</t>
  </si>
  <si>
    <t>价格构成</t>
  </si>
  <si>
    <t>计价单位</t>
  </si>
  <si>
    <t>计价说明</t>
  </si>
  <si>
    <t>价格（元）</t>
  </si>
  <si>
    <t>类别</t>
  </si>
  <si>
    <t>E</t>
  </si>
  <si>
    <t>013108000010000</t>
  </si>
  <si>
    <t>骨髓采集费</t>
  </si>
  <si>
    <t>通过反复多次采集骨髓血用于提取干细胞。</t>
  </si>
  <si>
    <t>所定价格涵盖消毒、定位、穿刺、抽取骨髓血、抗凝、过滤、样本留取、封口、称重、处理用物等步骤所需的人力资源和基本物质资源消耗。</t>
  </si>
  <si>
    <t>次</t>
  </si>
  <si>
    <r>
      <rPr>
        <sz val="12"/>
        <rFont val="Times New Roman"/>
        <charset val="0"/>
      </rPr>
      <t>“</t>
    </r>
    <r>
      <rPr>
        <sz val="12"/>
        <rFont val="宋体"/>
        <charset val="134"/>
      </rPr>
      <t>次</t>
    </r>
    <r>
      <rPr>
        <sz val="12"/>
        <rFont val="Times New Roman"/>
        <charset val="0"/>
      </rPr>
      <t>”</t>
    </r>
    <r>
      <rPr>
        <sz val="12"/>
        <rFont val="宋体"/>
        <charset val="134"/>
      </rPr>
      <t>指采集量</t>
    </r>
    <r>
      <rPr>
        <sz val="12"/>
        <rFont val="Times New Roman"/>
        <charset val="0"/>
      </rPr>
      <t>≤400ml</t>
    </r>
    <r>
      <rPr>
        <sz val="12"/>
        <rFont val="宋体"/>
        <charset val="134"/>
      </rPr>
      <t>，每增加</t>
    </r>
    <r>
      <rPr>
        <sz val="12"/>
        <rFont val="Times New Roman"/>
        <charset val="0"/>
      </rPr>
      <t>100ml</t>
    </r>
    <r>
      <rPr>
        <sz val="12"/>
        <rFont val="宋体"/>
        <charset val="134"/>
      </rPr>
      <t>加收</t>
    </r>
    <r>
      <rPr>
        <sz val="12"/>
        <rFont val="Times New Roman"/>
        <charset val="0"/>
      </rPr>
      <t>10%</t>
    </r>
    <r>
      <rPr>
        <sz val="12"/>
        <rFont val="宋体"/>
        <charset val="134"/>
      </rPr>
      <t>。</t>
    </r>
  </si>
  <si>
    <t>血液系统类</t>
  </si>
  <si>
    <t>013108000010000-1</t>
  </si>
  <si>
    <t>骨髓采集费-采集量&gt;400ml,每增加100ml加收10%</t>
  </si>
  <si>
    <t>013108000020000</t>
  </si>
  <si>
    <t>血细胞单采费</t>
  </si>
  <si>
    <r>
      <rPr>
        <sz val="12"/>
        <rFont val="宋体"/>
        <charset val="134"/>
      </rPr>
      <t>对血液成分（如单个核细胞、白细胞、悬浮红细胞、血小板等）进行单采分离，获取</t>
    </r>
    <r>
      <rPr>
        <sz val="12"/>
        <rFont val="Times New Roman"/>
        <charset val="0"/>
      </rPr>
      <t>/</t>
    </r>
    <r>
      <rPr>
        <sz val="12"/>
        <rFont val="宋体"/>
        <charset val="134"/>
      </rPr>
      <t>去除目标成分。</t>
    </r>
  </si>
  <si>
    <t>所定价格涵盖穿刺、抽血、血细胞成分去除或分离、回输、处理用物等步骤所需的人力资源、设备运转成本与基本物质资源消耗。</t>
  </si>
  <si>
    <r>
      <rPr>
        <sz val="12"/>
        <rFont val="Times New Roman"/>
        <charset val="0"/>
      </rPr>
      <t>1.“</t>
    </r>
    <r>
      <rPr>
        <sz val="12"/>
        <rFont val="宋体"/>
        <charset val="134"/>
      </rPr>
      <t>次</t>
    </r>
    <r>
      <rPr>
        <sz val="12"/>
        <rFont val="Times New Roman"/>
        <charset val="0"/>
      </rPr>
      <t>”</t>
    </r>
    <r>
      <rPr>
        <sz val="12"/>
        <rFont val="宋体"/>
        <charset val="134"/>
      </rPr>
      <t>指循环量</t>
    </r>
    <r>
      <rPr>
        <sz val="12"/>
        <rFont val="Times New Roman"/>
        <charset val="0"/>
      </rPr>
      <t>≤2000ml</t>
    </r>
    <r>
      <rPr>
        <sz val="12"/>
        <rFont val="宋体"/>
        <charset val="134"/>
      </rPr>
      <t>，每增加</t>
    </r>
    <r>
      <rPr>
        <sz val="12"/>
        <rFont val="Times New Roman"/>
        <charset val="0"/>
      </rPr>
      <t>1000ml</t>
    </r>
    <r>
      <rPr>
        <sz val="12"/>
        <rFont val="宋体"/>
        <charset val="134"/>
      </rPr>
      <t>加收</t>
    </r>
    <r>
      <rPr>
        <sz val="12"/>
        <rFont val="Times New Roman"/>
        <charset val="0"/>
      </rPr>
      <t>10%</t>
    </r>
    <r>
      <rPr>
        <sz val="12"/>
        <rFont val="宋体"/>
        <charset val="134"/>
      </rPr>
      <t>。</t>
    </r>
    <r>
      <rPr>
        <sz val="12"/>
        <rFont val="Times New Roman"/>
        <charset val="0"/>
      </rPr>
      <t xml:space="preserve">
2.</t>
    </r>
    <r>
      <rPr>
        <sz val="12"/>
        <rFont val="宋体"/>
        <charset val="134"/>
      </rPr>
      <t>血浆置换、血浆吸附等相关项目按泌尿系统类立项指南项目收费。</t>
    </r>
  </si>
  <si>
    <t>013108000030000</t>
  </si>
  <si>
    <t>自体备血采集费</t>
  </si>
  <si>
    <t>通过采集备血者一定量的血液，用于备血者本人后续治疗。</t>
  </si>
  <si>
    <r>
      <rPr>
        <sz val="12"/>
        <rFont val="宋体"/>
        <charset val="134"/>
      </rPr>
      <t>所定价格涵盖审核、材料准备、消毒、穿刺、采血</t>
    </r>
    <r>
      <rPr>
        <sz val="12"/>
        <rFont val="Times New Roman"/>
        <charset val="0"/>
      </rPr>
      <t>/</t>
    </r>
    <r>
      <rPr>
        <sz val="12"/>
        <rFont val="宋体"/>
        <charset val="134"/>
      </rPr>
      <t>收集血、抗凝、过滤、装袋、称重、保存、处理用物等步骤所需的人力资源和基本物质资源消耗。</t>
    </r>
  </si>
  <si>
    <t>013108000040000</t>
  </si>
  <si>
    <t>干细胞成分去除费</t>
  </si>
  <si>
    <r>
      <rPr>
        <sz val="12"/>
        <rFont val="宋体"/>
        <charset val="134"/>
      </rPr>
      <t>对骨髓</t>
    </r>
    <r>
      <rPr>
        <sz val="12"/>
        <rFont val="Times New Roman"/>
        <charset val="0"/>
      </rPr>
      <t>/</t>
    </r>
    <r>
      <rPr>
        <sz val="12"/>
        <rFont val="宋体"/>
        <charset val="134"/>
      </rPr>
      <t>外周血</t>
    </r>
    <r>
      <rPr>
        <sz val="12"/>
        <rFont val="Times New Roman"/>
        <charset val="0"/>
      </rPr>
      <t>/</t>
    </r>
    <r>
      <rPr>
        <sz val="12"/>
        <rFont val="宋体"/>
        <charset val="134"/>
      </rPr>
      <t>脐带血等各种干细胞移植物中的特定成分（如红细胞、血浆或血浆中特定成分等）进行分离和去除。</t>
    </r>
  </si>
  <si>
    <t>所定价格涵盖准备、沉降、分离、再次混匀、封存、标记、处理用物等步骤所需的人力资源、设备运转成本与基本物质资源消耗。</t>
  </si>
  <si>
    <t>成分</t>
  </si>
  <si>
    <t>013108000050000</t>
  </si>
  <si>
    <t>干细胞分离制备费</t>
  </si>
  <si>
    <t>通过从骨髓、外周血、脐带血等来源中分离制备提取干细胞。</t>
  </si>
  <si>
    <t>所定价格涵盖准备、分离、提取干细胞、计数、装袋、封口、处理用物等步骤所需的人力资源、设备运转成本与基本物质资源消耗。</t>
  </si>
  <si>
    <t>袋</t>
  </si>
  <si>
    <t>013108000060000</t>
  </si>
  <si>
    <t>干细胞冷冻费</t>
  </si>
  <si>
    <t>将制备后的干细胞进行冷冻。</t>
  </si>
  <si>
    <t>所定价格涵盖计数、转移至冷冻载体、冷冻、处理用物等步骤所需的人力资源、设备运转成本与基本物质资源消耗。</t>
  </si>
  <si>
    <t>013108000070000</t>
  </si>
  <si>
    <t>干细胞冷冻续存费</t>
  </si>
  <si>
    <t>将冷冻后的干细胞持续冻存。</t>
  </si>
  <si>
    <t>所定价格涵盖将冷冻后的干细胞持续冻存至解冻复苏前，或约定截止保存时间期间所需的人力资源、设备运转成本与基本物质资源消耗。</t>
  </si>
  <si>
    <r>
      <rPr>
        <sz val="12"/>
        <rFont val="宋体"/>
        <charset val="134"/>
      </rPr>
      <t>袋</t>
    </r>
    <r>
      <rPr>
        <sz val="12"/>
        <rFont val="Times New Roman"/>
        <charset val="0"/>
      </rPr>
      <t>•</t>
    </r>
    <r>
      <rPr>
        <sz val="12"/>
        <rFont val="宋体"/>
        <charset val="134"/>
      </rPr>
      <t>日</t>
    </r>
  </si>
  <si>
    <t>013108000080000</t>
  </si>
  <si>
    <t>干细胞回输费</t>
  </si>
  <si>
    <t>将干细胞重新输注到体内。</t>
  </si>
  <si>
    <t>所定价格涵盖准备、解冻、计数、输注、观察、处理用物等步骤所需的人力资源和基本物质资源消耗。</t>
  </si>
  <si>
    <t>013108000090000</t>
  </si>
  <si>
    <t>造血干细胞移植费</t>
  </si>
  <si>
    <t>通过植入健康的造血干细胞，改善造血功能异常。</t>
  </si>
  <si>
    <r>
      <rPr>
        <sz val="12"/>
        <rFont val="宋体"/>
        <charset val="134"/>
      </rPr>
      <t>所定价格涵盖移植方案制定、进入移植舱后相关准备、解冻、细胞回输</t>
    </r>
    <r>
      <rPr>
        <sz val="12"/>
        <rFont val="Times New Roman"/>
        <charset val="0"/>
      </rPr>
      <t>/</t>
    </r>
    <r>
      <rPr>
        <sz val="12"/>
        <rFont val="宋体"/>
        <charset val="134"/>
      </rPr>
      <t>注射、观察、效果评估、处理用物等步骤所需的人力资源和基本物质资源消耗。</t>
    </r>
  </si>
  <si>
    <r>
      <rPr>
        <sz val="12"/>
        <rFont val="Times New Roman"/>
        <charset val="0"/>
      </rPr>
      <t>1.</t>
    </r>
    <r>
      <rPr>
        <sz val="12"/>
        <rFont val="宋体"/>
        <charset val="134"/>
      </rPr>
      <t>不可与</t>
    </r>
    <r>
      <rPr>
        <sz val="12"/>
        <rFont val="Times New Roman"/>
        <charset val="0"/>
      </rPr>
      <t>“</t>
    </r>
    <r>
      <rPr>
        <sz val="12"/>
        <rFont val="宋体"/>
        <charset val="134"/>
      </rPr>
      <t>干细胞回输费</t>
    </r>
    <r>
      <rPr>
        <sz val="12"/>
        <rFont val="Times New Roman"/>
        <charset val="0"/>
      </rPr>
      <t>”</t>
    </r>
    <r>
      <rPr>
        <sz val="12"/>
        <rFont val="宋体"/>
        <charset val="134"/>
      </rPr>
      <t>同时收取。</t>
    </r>
    <r>
      <rPr>
        <sz val="12"/>
        <rFont val="Times New Roman"/>
        <charset val="0"/>
      </rPr>
      <t xml:space="preserve">
2.</t>
    </r>
    <r>
      <rPr>
        <sz val="12"/>
        <rFont val="宋体"/>
        <charset val="134"/>
      </rPr>
      <t>每例患者住院周期内仅可收取</t>
    </r>
    <r>
      <rPr>
        <sz val="12"/>
        <rFont val="Times New Roman"/>
        <charset val="0"/>
      </rPr>
      <t>1</t>
    </r>
    <r>
      <rPr>
        <sz val="12"/>
        <rFont val="宋体"/>
        <charset val="134"/>
      </rPr>
      <t>次，不可按</t>
    </r>
    <r>
      <rPr>
        <sz val="12"/>
        <rFont val="Times New Roman"/>
        <charset val="0"/>
      </rPr>
      <t>“</t>
    </r>
    <r>
      <rPr>
        <sz val="12"/>
        <rFont val="宋体"/>
        <charset val="134"/>
      </rPr>
      <t>袋</t>
    </r>
    <r>
      <rPr>
        <sz val="12"/>
        <rFont val="Times New Roman"/>
        <charset val="0"/>
      </rPr>
      <t>”</t>
    </r>
    <r>
      <rPr>
        <sz val="12"/>
        <rFont val="宋体"/>
        <charset val="134"/>
      </rPr>
      <t>或</t>
    </r>
    <r>
      <rPr>
        <sz val="12"/>
        <rFont val="Times New Roman"/>
        <charset val="0"/>
      </rPr>
      <t>“</t>
    </r>
    <r>
      <rPr>
        <sz val="12"/>
        <rFont val="宋体"/>
        <charset val="134"/>
      </rPr>
      <t>毫升数</t>
    </r>
    <r>
      <rPr>
        <sz val="12"/>
        <rFont val="Times New Roman"/>
        <charset val="0"/>
      </rPr>
      <t>”</t>
    </r>
    <r>
      <rPr>
        <sz val="12"/>
        <rFont val="宋体"/>
        <charset val="134"/>
      </rPr>
      <t>收费。</t>
    </r>
  </si>
  <si>
    <t>013108000100000</t>
  </si>
  <si>
    <t>血液辐照费</t>
  </si>
  <si>
    <t>通过放射线对供血进行辐照处理。</t>
  </si>
  <si>
    <t>所定价格涵盖审核、血制品准备、照射、处理用物等步骤所需的人力资源、设备运转成本与基本物质资源消耗。</t>
  </si>
  <si>
    <r>
      <rPr>
        <sz val="12"/>
        <rFont val="Times New Roman"/>
        <charset val="0"/>
      </rPr>
      <t>1.“</t>
    </r>
    <r>
      <rPr>
        <sz val="12"/>
        <rFont val="宋体"/>
        <charset val="134"/>
      </rPr>
      <t>次</t>
    </r>
    <r>
      <rPr>
        <sz val="12"/>
        <rFont val="Times New Roman"/>
        <charset val="0"/>
      </rPr>
      <t>”</t>
    </r>
    <r>
      <rPr>
        <sz val="12"/>
        <rFont val="宋体"/>
        <charset val="134"/>
      </rPr>
      <t>指</t>
    </r>
    <r>
      <rPr>
        <sz val="12"/>
        <rFont val="Times New Roman"/>
        <charset val="0"/>
      </rPr>
      <t>“</t>
    </r>
    <r>
      <rPr>
        <sz val="12"/>
        <rFont val="宋体"/>
        <charset val="134"/>
      </rPr>
      <t>人</t>
    </r>
    <r>
      <rPr>
        <sz val="12"/>
        <rFont val="Times New Roman"/>
        <charset val="0"/>
      </rPr>
      <t>·</t>
    </r>
    <r>
      <rPr>
        <sz val="12"/>
        <rFont val="宋体"/>
        <charset val="134"/>
      </rPr>
      <t>次</t>
    </r>
    <r>
      <rPr>
        <sz val="12"/>
        <rFont val="Times New Roman"/>
        <charset val="0"/>
      </rPr>
      <t>”</t>
    </r>
    <r>
      <rPr>
        <sz val="12"/>
        <rFont val="宋体"/>
        <charset val="134"/>
      </rPr>
      <t>。</t>
    </r>
    <r>
      <rPr>
        <sz val="12"/>
        <rFont val="Times New Roman"/>
        <charset val="0"/>
      </rPr>
      <t xml:space="preserve">
2.</t>
    </r>
    <r>
      <rPr>
        <sz val="12"/>
        <rFont val="宋体"/>
        <charset val="134"/>
      </rPr>
      <t>医疗机构使用由血库、血站提供的辐照血时，不再另收血液辐照费。</t>
    </r>
  </si>
  <si>
    <t>013108000110000</t>
  </si>
  <si>
    <t>血液除滤费</t>
  </si>
  <si>
    <t>通过装置除滤供血中的白细胞等成分。</t>
  </si>
  <si>
    <t>所定价格涵盖审核、血制品准备、滤除、处理用物等步骤所需的人力资源和基本物质资源消耗。</t>
  </si>
  <si>
    <r>
      <rPr>
        <sz val="12"/>
        <rFont val="Times New Roman"/>
        <charset val="0"/>
      </rPr>
      <t>“</t>
    </r>
    <r>
      <rPr>
        <sz val="12"/>
        <rFont val="宋体"/>
        <charset val="134"/>
      </rPr>
      <t>次</t>
    </r>
    <r>
      <rPr>
        <sz val="12"/>
        <rFont val="Times New Roman"/>
        <charset val="0"/>
      </rPr>
      <t>”</t>
    </r>
    <r>
      <rPr>
        <sz val="12"/>
        <rFont val="宋体"/>
        <charset val="134"/>
      </rPr>
      <t>指</t>
    </r>
    <r>
      <rPr>
        <sz val="12"/>
        <rFont val="Times New Roman"/>
        <charset val="0"/>
      </rPr>
      <t>“</t>
    </r>
    <r>
      <rPr>
        <sz val="12"/>
        <rFont val="宋体"/>
        <charset val="134"/>
      </rPr>
      <t>人</t>
    </r>
    <r>
      <rPr>
        <sz val="12"/>
        <rFont val="Times New Roman"/>
        <charset val="0"/>
      </rPr>
      <t>·</t>
    </r>
    <r>
      <rPr>
        <sz val="12"/>
        <rFont val="宋体"/>
        <charset val="134"/>
      </rPr>
      <t>次</t>
    </r>
    <r>
      <rPr>
        <sz val="12"/>
        <rFont val="Times New Roman"/>
        <charset val="0"/>
      </rPr>
      <t>”</t>
    </r>
  </si>
  <si>
    <t>013108000120000</t>
  </si>
  <si>
    <t>术中自体血回输费</t>
  </si>
  <si>
    <t>通过设备收集术中患者失血，处理后回输到患者体内。</t>
  </si>
  <si>
    <t>所定价格涵盖失血回收、处理、回输、处理用物等步骤所需的人力资源、设备运转成本与基本物质资源消耗。</t>
  </si>
  <si>
    <t>013108000130000</t>
  </si>
  <si>
    <t>经照射自体血回输费</t>
  </si>
  <si>
    <t>通过光学技术照射等处理采集血，回输患者体内。</t>
  </si>
  <si>
    <t>所定价格涵盖消毒、采血、照射、输氧、回输、处理用物等步骤所需的人力资源、设备运转成本与基本物质资源消耗。</t>
  </si>
  <si>
    <t>013108000140000</t>
  </si>
  <si>
    <t>富血小板血浆制备费</t>
  </si>
  <si>
    <t>通过采集外周血，浓缩提取富血小板血浆，用于后续治疗。</t>
  </si>
  <si>
    <t>所定价格涵盖消毒、采血、分离、富集、保存、处理用物等步骤所需的人力资源和基本物质资源消耗。</t>
  </si>
  <si>
    <t>013108000150000</t>
  </si>
  <si>
    <t>新生儿换血治疗费</t>
  </si>
  <si>
    <t>通过替换新鲜的血液，改善新生儿溶血或体内代谢产物异常等病症。</t>
  </si>
  <si>
    <r>
      <rPr>
        <sz val="12"/>
        <rFont val="宋体"/>
        <charset val="134"/>
      </rPr>
      <t>所定价格涵盖消毒、穿刺、置管、反复抽取</t>
    </r>
    <r>
      <rPr>
        <sz val="12"/>
        <rFont val="Times New Roman"/>
        <charset val="0"/>
      </rPr>
      <t>/</t>
    </r>
    <r>
      <rPr>
        <sz val="12"/>
        <rFont val="宋体"/>
        <charset val="134"/>
      </rPr>
      <t>推注、拔管、压迫止血、处理用物等步骤所需的人力资源和基本物质资源消耗。</t>
    </r>
  </si>
  <si>
    <t>015200000010000</t>
  </si>
  <si>
    <t>意识功能训练</t>
  </si>
  <si>
    <t>通过康复手段对各种疾病造成的昏迷、意识功能障碍等进行康复治疗，改善意识水平。</t>
  </si>
  <si>
    <t>所定价格涵盖计划制定、手法及应用不同康复设备完成声、光、电等各种感觉刺激及各种无创脑调控技术等步骤所需的人力资源、设备成本与基本物质资源消耗。</t>
  </si>
  <si>
    <t>半小时</t>
  </si>
  <si>
    <r>
      <rPr>
        <sz val="12"/>
        <rFont val="Times New Roman"/>
        <charset val="0"/>
      </rPr>
      <t>1.</t>
    </r>
    <r>
      <rPr>
        <sz val="12"/>
        <rFont val="宋体"/>
        <charset val="134"/>
      </rPr>
      <t>每日限计费</t>
    </r>
    <r>
      <rPr>
        <sz val="12"/>
        <rFont val="Times New Roman"/>
        <charset val="0"/>
      </rPr>
      <t>1</t>
    </r>
    <r>
      <rPr>
        <sz val="12"/>
        <rFont val="宋体"/>
        <charset val="134"/>
      </rPr>
      <t>个小时。</t>
    </r>
    <r>
      <rPr>
        <sz val="12"/>
        <rFont val="Times New Roman"/>
        <charset val="0"/>
      </rPr>
      <t>2.</t>
    </r>
    <r>
      <rPr>
        <sz val="12"/>
        <rFont val="宋体"/>
        <charset val="134"/>
      </rPr>
      <t>此项目价格构成已涵盖声、光、电等各种感觉刺激费用，用于同一治疗目的时不得同时收取相关物理治疗项目费用。</t>
    </r>
  </si>
  <si>
    <t>康复类</t>
  </si>
  <si>
    <t>015200000010001</t>
  </si>
  <si>
    <r>
      <rPr>
        <sz val="12"/>
        <rFont val="宋体"/>
        <charset val="134"/>
      </rPr>
      <t>意识功能训练</t>
    </r>
    <r>
      <rPr>
        <sz val="12"/>
        <rFont val="Times New Roman"/>
        <charset val="0"/>
      </rPr>
      <t>-</t>
    </r>
    <r>
      <rPr>
        <sz val="12"/>
        <rFont val="宋体"/>
        <charset val="134"/>
      </rPr>
      <t>每增加</t>
    </r>
    <r>
      <rPr>
        <sz val="12"/>
        <rFont val="Times New Roman"/>
        <charset val="0"/>
      </rPr>
      <t>10</t>
    </r>
    <r>
      <rPr>
        <sz val="12"/>
        <rFont val="宋体"/>
        <charset val="134"/>
      </rPr>
      <t>分钟（加收）</t>
    </r>
  </si>
  <si>
    <r>
      <rPr>
        <sz val="12"/>
        <rFont val="Times New Roman"/>
        <charset val="0"/>
      </rPr>
      <t>10</t>
    </r>
    <r>
      <rPr>
        <sz val="12"/>
        <rFont val="宋体"/>
        <charset val="134"/>
      </rPr>
      <t>分钟</t>
    </r>
  </si>
  <si>
    <t>015200000010100</t>
  </si>
  <si>
    <r>
      <rPr>
        <sz val="12"/>
        <rFont val="宋体"/>
        <charset val="134"/>
      </rPr>
      <t>意识功能训练</t>
    </r>
    <r>
      <rPr>
        <sz val="12"/>
        <rFont val="Times New Roman"/>
        <charset val="0"/>
      </rPr>
      <t>-</t>
    </r>
    <r>
      <rPr>
        <sz val="12"/>
        <rFont val="宋体"/>
        <charset val="134"/>
      </rPr>
      <t>人工智能辅助训练（扩展）</t>
    </r>
  </si>
  <si>
    <t>015200000020000</t>
  </si>
  <si>
    <t>认知功能训练</t>
  </si>
  <si>
    <t>通过各种康复手段对认知功能障碍进行治疗，改善认知功能。</t>
  </si>
  <si>
    <t>所定价格涵盖计划制定、手法及应用不同康复设备进行认知功能训练等步骤所需的人力资源、设备成本与基本物质资源消耗。</t>
  </si>
  <si>
    <r>
      <rPr>
        <sz val="12"/>
        <rFont val="宋体"/>
        <charset val="134"/>
      </rPr>
      <t>每日限计费</t>
    </r>
    <r>
      <rPr>
        <sz val="12"/>
        <rFont val="Times New Roman"/>
        <charset val="0"/>
      </rPr>
      <t>1</t>
    </r>
    <r>
      <rPr>
        <sz val="12"/>
        <rFont val="宋体"/>
        <charset val="134"/>
      </rPr>
      <t>小时。</t>
    </r>
  </si>
  <si>
    <t>015200000020001</t>
  </si>
  <si>
    <r>
      <rPr>
        <sz val="12"/>
        <rFont val="宋体"/>
        <charset val="134"/>
      </rPr>
      <t>认知功能训练</t>
    </r>
    <r>
      <rPr>
        <sz val="12"/>
        <rFont val="Times New Roman"/>
        <charset val="0"/>
      </rPr>
      <t>-</t>
    </r>
    <r>
      <rPr>
        <sz val="12"/>
        <rFont val="宋体"/>
        <charset val="134"/>
      </rPr>
      <t>每增加</t>
    </r>
    <r>
      <rPr>
        <sz val="12"/>
        <rFont val="Times New Roman"/>
        <charset val="0"/>
      </rPr>
      <t>10</t>
    </r>
    <r>
      <rPr>
        <sz val="12"/>
        <rFont val="宋体"/>
        <charset val="134"/>
      </rPr>
      <t>分钟（加收）</t>
    </r>
  </si>
  <si>
    <t>015200000020100</t>
  </si>
  <si>
    <r>
      <rPr>
        <sz val="12"/>
        <rFont val="宋体"/>
        <charset val="134"/>
      </rPr>
      <t>认知功能训练</t>
    </r>
    <r>
      <rPr>
        <sz val="12"/>
        <rFont val="Times New Roman"/>
        <charset val="0"/>
      </rPr>
      <t>-</t>
    </r>
    <r>
      <rPr>
        <sz val="12"/>
        <rFont val="宋体"/>
        <charset val="134"/>
      </rPr>
      <t>人工智能辅助训练（扩展）</t>
    </r>
  </si>
  <si>
    <t>015200000030000</t>
  </si>
  <si>
    <t>吞咽功能训练</t>
  </si>
  <si>
    <t>通过各种康复手段对吞咽功能障碍进行治疗，改善摄食吞咽功能。</t>
  </si>
  <si>
    <t>所定价格涵盖计划制定、手法及应用不同康复设备进行吞咽功能训练等步骤所需的人力资源、设备成本与基本物质资源消耗。</t>
  </si>
  <si>
    <t>015200000030001</t>
  </si>
  <si>
    <r>
      <rPr>
        <sz val="12"/>
        <rFont val="宋体"/>
        <charset val="134"/>
      </rPr>
      <t>吞咽功能训练</t>
    </r>
    <r>
      <rPr>
        <sz val="12"/>
        <rFont val="Times New Roman"/>
        <charset val="0"/>
      </rPr>
      <t>-</t>
    </r>
    <r>
      <rPr>
        <sz val="12"/>
        <rFont val="宋体"/>
        <charset val="134"/>
      </rPr>
      <t>每增加</t>
    </r>
    <r>
      <rPr>
        <sz val="12"/>
        <rFont val="Times New Roman"/>
        <charset val="0"/>
      </rPr>
      <t>10</t>
    </r>
    <r>
      <rPr>
        <sz val="12"/>
        <rFont val="宋体"/>
        <charset val="134"/>
      </rPr>
      <t>分钟（加收）</t>
    </r>
  </si>
  <si>
    <t>015200000030100</t>
  </si>
  <si>
    <r>
      <rPr>
        <sz val="12"/>
        <rFont val="宋体"/>
        <charset val="134"/>
      </rPr>
      <t>吞咽功能训练</t>
    </r>
    <r>
      <rPr>
        <sz val="12"/>
        <rFont val="Times New Roman"/>
        <charset val="0"/>
      </rPr>
      <t>-</t>
    </r>
    <r>
      <rPr>
        <sz val="12"/>
        <rFont val="宋体"/>
        <charset val="134"/>
      </rPr>
      <t>人工智能辅助训练（扩展）</t>
    </r>
  </si>
  <si>
    <t>015200000040000</t>
  </si>
  <si>
    <t>言语功能训练</t>
  </si>
  <si>
    <r>
      <rPr>
        <sz val="12"/>
        <rFont val="宋体"/>
        <charset val="134"/>
      </rPr>
      <t>通过各种康复手段对言语</t>
    </r>
    <r>
      <rPr>
        <sz val="12"/>
        <rFont val="Times New Roman"/>
        <charset val="0"/>
      </rPr>
      <t>-</t>
    </r>
    <r>
      <rPr>
        <sz val="12"/>
        <rFont val="宋体"/>
        <charset val="134"/>
      </rPr>
      <t>语言功能障碍进行治疗，改善言语</t>
    </r>
    <r>
      <rPr>
        <sz val="12"/>
        <rFont val="Times New Roman"/>
        <charset val="0"/>
      </rPr>
      <t>-</t>
    </r>
    <r>
      <rPr>
        <sz val="12"/>
        <rFont val="宋体"/>
        <charset val="134"/>
      </rPr>
      <t>语言功能。</t>
    </r>
  </si>
  <si>
    <t>所定价格涵盖计划制定、手法及应用不同康复设备进行言语功能训练等步骤所需的人力资源、设备成本与基本物质资源消耗。</t>
  </si>
  <si>
    <t>015200000040001</t>
  </si>
  <si>
    <r>
      <rPr>
        <sz val="12"/>
        <rFont val="宋体"/>
        <charset val="134"/>
      </rPr>
      <t>言语功能训练</t>
    </r>
    <r>
      <rPr>
        <sz val="12"/>
        <rFont val="Times New Roman"/>
        <charset val="0"/>
      </rPr>
      <t>-</t>
    </r>
    <r>
      <rPr>
        <sz val="12"/>
        <rFont val="宋体"/>
        <charset val="134"/>
      </rPr>
      <t>每增加</t>
    </r>
    <r>
      <rPr>
        <sz val="12"/>
        <rFont val="Times New Roman"/>
        <charset val="0"/>
      </rPr>
      <t>10</t>
    </r>
    <r>
      <rPr>
        <sz val="12"/>
        <rFont val="宋体"/>
        <charset val="134"/>
      </rPr>
      <t>分钟（加收）</t>
    </r>
  </si>
  <si>
    <t>015200000040100</t>
  </si>
  <si>
    <r>
      <rPr>
        <sz val="12"/>
        <rFont val="宋体"/>
        <charset val="134"/>
      </rPr>
      <t>言语功能训练</t>
    </r>
    <r>
      <rPr>
        <sz val="12"/>
        <rFont val="Times New Roman"/>
        <charset val="0"/>
      </rPr>
      <t>-</t>
    </r>
    <r>
      <rPr>
        <sz val="12"/>
        <rFont val="宋体"/>
        <charset val="134"/>
      </rPr>
      <t>人工智能辅助训练（扩展）</t>
    </r>
  </si>
  <si>
    <t>015200000050000</t>
  </si>
  <si>
    <t>运动功能训练</t>
  </si>
  <si>
    <t>通过各种康复手段对四肢和躯干的运动功能障碍进行治疗，改善躯体运动功能。</t>
  </si>
  <si>
    <t>所定价格涵盖计划制定、手法及应用不同康复设备进行运动功能训练等步骤所需的人力资源、设备成本与基本物质资源消耗。</t>
  </si>
  <si>
    <r>
      <rPr>
        <sz val="12"/>
        <rFont val="宋体"/>
        <charset val="134"/>
      </rPr>
      <t>每日限计费</t>
    </r>
    <r>
      <rPr>
        <sz val="12"/>
        <rFont val="Times New Roman"/>
        <charset val="0"/>
      </rPr>
      <t>100</t>
    </r>
    <r>
      <rPr>
        <sz val="12"/>
        <rFont val="宋体"/>
        <charset val="134"/>
      </rPr>
      <t>分钟。</t>
    </r>
  </si>
  <si>
    <t>015200000050001</t>
  </si>
  <si>
    <r>
      <rPr>
        <sz val="12"/>
        <rFont val="宋体"/>
        <charset val="134"/>
      </rPr>
      <t>运动功能训练</t>
    </r>
    <r>
      <rPr>
        <sz val="12"/>
        <rFont val="Times New Roman"/>
        <charset val="0"/>
      </rPr>
      <t>-</t>
    </r>
    <r>
      <rPr>
        <sz val="12"/>
        <rFont val="宋体"/>
        <charset val="134"/>
      </rPr>
      <t>每增加</t>
    </r>
    <r>
      <rPr>
        <sz val="12"/>
        <rFont val="Times New Roman"/>
        <charset val="0"/>
      </rPr>
      <t>10</t>
    </r>
    <r>
      <rPr>
        <sz val="12"/>
        <rFont val="宋体"/>
        <charset val="134"/>
      </rPr>
      <t>分钟（加收）</t>
    </r>
  </si>
  <si>
    <t>015200000050011</t>
  </si>
  <si>
    <r>
      <rPr>
        <sz val="12"/>
        <rFont val="宋体"/>
        <charset val="134"/>
      </rPr>
      <t>运动功能训练</t>
    </r>
    <r>
      <rPr>
        <sz val="12"/>
        <rFont val="Times New Roman"/>
        <charset val="0"/>
      </rPr>
      <t>-</t>
    </r>
    <r>
      <rPr>
        <sz val="12"/>
        <rFont val="宋体"/>
        <charset val="134"/>
      </rPr>
      <t>运动功能训练（水中）（加收）</t>
    </r>
  </si>
  <si>
    <t>015200000050100</t>
  </si>
  <si>
    <r>
      <rPr>
        <sz val="12"/>
        <rFont val="宋体"/>
        <charset val="134"/>
      </rPr>
      <t>运动功能训练</t>
    </r>
    <r>
      <rPr>
        <sz val="12"/>
        <rFont val="Times New Roman"/>
        <charset val="0"/>
      </rPr>
      <t>-</t>
    </r>
    <r>
      <rPr>
        <sz val="12"/>
        <rFont val="宋体"/>
        <charset val="134"/>
      </rPr>
      <t>人工智能辅助训练（扩展）</t>
    </r>
  </si>
  <si>
    <t>015200000060000</t>
  </si>
  <si>
    <t>脏器功能训练</t>
  </si>
  <si>
    <t>通过各种康复手段对脏器功能障碍进行治疗，改善相关脏器功能。</t>
  </si>
  <si>
    <t>所定价格涵盖计划制定、手法及应用不同康复设备进行脏器功能训练等步骤所需的人力资源、设备成本与基本物质资源消耗。</t>
  </si>
  <si>
    <t>015200000060001</t>
  </si>
  <si>
    <r>
      <rPr>
        <sz val="12"/>
        <rFont val="宋体"/>
        <charset val="134"/>
      </rPr>
      <t>脏器功能训练</t>
    </r>
    <r>
      <rPr>
        <sz val="12"/>
        <rFont val="Times New Roman"/>
        <charset val="0"/>
      </rPr>
      <t>-</t>
    </r>
    <r>
      <rPr>
        <sz val="12"/>
        <rFont val="宋体"/>
        <charset val="134"/>
      </rPr>
      <t>每增加</t>
    </r>
    <r>
      <rPr>
        <sz val="12"/>
        <rFont val="Times New Roman"/>
        <charset val="0"/>
      </rPr>
      <t>10</t>
    </r>
    <r>
      <rPr>
        <sz val="12"/>
        <rFont val="宋体"/>
        <charset val="134"/>
      </rPr>
      <t>分钟（加收）</t>
    </r>
  </si>
  <si>
    <t>015200000060100</t>
  </si>
  <si>
    <r>
      <rPr>
        <sz val="12"/>
        <rFont val="宋体"/>
        <charset val="134"/>
      </rPr>
      <t>脏器功能训练</t>
    </r>
    <r>
      <rPr>
        <sz val="12"/>
        <rFont val="Times New Roman"/>
        <charset val="0"/>
      </rPr>
      <t>-</t>
    </r>
    <r>
      <rPr>
        <sz val="12"/>
        <rFont val="宋体"/>
        <charset val="134"/>
      </rPr>
      <t>人工智能辅助训练（扩展）</t>
    </r>
  </si>
  <si>
    <t>015200000070000</t>
  </si>
  <si>
    <t>辅助器具使用训练</t>
  </si>
  <si>
    <r>
      <rPr>
        <sz val="12"/>
        <rFont val="宋体"/>
        <charset val="134"/>
      </rPr>
      <t>通过选取合适的各种辅助</t>
    </r>
    <r>
      <rPr>
        <sz val="12"/>
        <rFont val="Times New Roman"/>
        <charset val="0"/>
      </rPr>
      <t>(</t>
    </r>
    <r>
      <rPr>
        <sz val="12"/>
        <rFont val="宋体"/>
        <charset val="134"/>
      </rPr>
      <t>器</t>
    </r>
    <r>
      <rPr>
        <sz val="12"/>
        <rFont val="Times New Roman"/>
        <charset val="0"/>
      </rPr>
      <t>)</t>
    </r>
    <r>
      <rPr>
        <sz val="12"/>
        <rFont val="宋体"/>
        <charset val="134"/>
      </rPr>
      <t>具，结合日常生活活动的训练，提高患者使用辅助器具的能力。</t>
    </r>
  </si>
  <si>
    <r>
      <rPr>
        <sz val="12"/>
        <rFont val="宋体"/>
        <charset val="134"/>
      </rPr>
      <t>所定价格涵盖计划制定、各种辅助</t>
    </r>
    <r>
      <rPr>
        <sz val="12"/>
        <rFont val="Times New Roman"/>
        <charset val="0"/>
      </rPr>
      <t>(</t>
    </r>
    <r>
      <rPr>
        <sz val="12"/>
        <rFont val="宋体"/>
        <charset val="134"/>
      </rPr>
      <t>器</t>
    </r>
    <r>
      <rPr>
        <sz val="12"/>
        <rFont val="Times New Roman"/>
        <charset val="0"/>
      </rPr>
      <t>)</t>
    </r>
    <r>
      <rPr>
        <sz val="12"/>
        <rFont val="宋体"/>
        <charset val="134"/>
      </rPr>
      <t>具训练等步骤所需的人力资源和基本物质资源消耗。</t>
    </r>
  </si>
  <si>
    <t>015200000070001</t>
  </si>
  <si>
    <r>
      <rPr>
        <sz val="12"/>
        <rFont val="宋体"/>
        <charset val="134"/>
      </rPr>
      <t>辅助器具使用训练</t>
    </r>
    <r>
      <rPr>
        <sz val="12"/>
        <rFont val="Times New Roman"/>
        <charset val="0"/>
      </rPr>
      <t>-</t>
    </r>
    <r>
      <rPr>
        <sz val="12"/>
        <rFont val="宋体"/>
        <charset val="134"/>
      </rPr>
      <t>每增加</t>
    </r>
    <r>
      <rPr>
        <sz val="12"/>
        <rFont val="Times New Roman"/>
        <charset val="0"/>
      </rPr>
      <t>10</t>
    </r>
    <r>
      <rPr>
        <sz val="12"/>
        <rFont val="宋体"/>
        <charset val="134"/>
      </rPr>
      <t>分钟（加收）</t>
    </r>
  </si>
  <si>
    <t>015200000070100</t>
  </si>
  <si>
    <r>
      <rPr>
        <sz val="12"/>
        <rFont val="宋体"/>
        <charset val="134"/>
      </rPr>
      <t>辅助器具使用训练</t>
    </r>
    <r>
      <rPr>
        <sz val="12"/>
        <rFont val="Times New Roman"/>
        <charset val="0"/>
      </rPr>
      <t>-</t>
    </r>
    <r>
      <rPr>
        <sz val="12"/>
        <rFont val="宋体"/>
        <charset val="134"/>
      </rPr>
      <t>人工智能辅助训练（扩展）</t>
    </r>
  </si>
  <si>
    <t>015200000080000</t>
  </si>
  <si>
    <t>生活技能康复训练</t>
  </si>
  <si>
    <t>通过各种康复手段（含徒手、仪器或器械）对患者进行独立生活能力、家务劳动、社交技能等多方面康复训练，改善患者从日常生活到职业生涯全方位的能力。</t>
  </si>
  <si>
    <t>所定价格涵盖评估、计划制定、指导学习、模拟训练、实际动作训练等步骤所需的人力资源、设备成本与基本物质资源消耗。</t>
  </si>
  <si>
    <t>015200000080001</t>
  </si>
  <si>
    <r>
      <rPr>
        <sz val="12"/>
        <rFont val="宋体"/>
        <charset val="134"/>
      </rPr>
      <t>生活技能康复训练</t>
    </r>
    <r>
      <rPr>
        <sz val="12"/>
        <rFont val="Times New Roman"/>
        <charset val="0"/>
      </rPr>
      <t>-</t>
    </r>
    <r>
      <rPr>
        <sz val="12"/>
        <rFont val="宋体"/>
        <charset val="134"/>
      </rPr>
      <t>每增加</t>
    </r>
    <r>
      <rPr>
        <sz val="12"/>
        <rFont val="Times New Roman"/>
        <charset val="0"/>
      </rPr>
      <t>10</t>
    </r>
    <r>
      <rPr>
        <sz val="12"/>
        <rFont val="宋体"/>
        <charset val="134"/>
      </rPr>
      <t>分钟（加收）</t>
    </r>
  </si>
  <si>
    <t>015200000080100</t>
  </si>
  <si>
    <r>
      <rPr>
        <sz val="12"/>
        <rFont val="宋体"/>
        <charset val="134"/>
      </rPr>
      <t>生活技能康复训练</t>
    </r>
    <r>
      <rPr>
        <sz val="12"/>
        <rFont val="Times New Roman"/>
        <charset val="0"/>
      </rPr>
      <t>-</t>
    </r>
    <r>
      <rPr>
        <sz val="12"/>
        <rFont val="宋体"/>
        <charset val="134"/>
      </rPr>
      <t>人工智能辅助训练（扩展）</t>
    </r>
  </si>
  <si>
    <t>015200000090000</t>
  </si>
  <si>
    <t>职业技能康复训练</t>
  </si>
  <si>
    <t>通过各种康复手段（含徒手、仪器或器械）对患者进行独立职业技能、工作模拟等多方面康复训练，改善患者从日常生活到职业生涯全方位的能力。</t>
  </si>
  <si>
    <t>015200000090001</t>
  </si>
  <si>
    <r>
      <rPr>
        <sz val="12"/>
        <rFont val="宋体"/>
        <charset val="134"/>
      </rPr>
      <t>职业技能康复训练</t>
    </r>
    <r>
      <rPr>
        <sz val="12"/>
        <rFont val="Times New Roman"/>
        <charset val="0"/>
      </rPr>
      <t>-</t>
    </r>
    <r>
      <rPr>
        <sz val="12"/>
        <rFont val="宋体"/>
        <charset val="134"/>
      </rPr>
      <t>每增加</t>
    </r>
    <r>
      <rPr>
        <sz val="12"/>
        <rFont val="Times New Roman"/>
        <charset val="0"/>
      </rPr>
      <t>10</t>
    </r>
    <r>
      <rPr>
        <sz val="12"/>
        <rFont val="宋体"/>
        <charset val="134"/>
      </rPr>
      <t>分钟（加收）</t>
    </r>
  </si>
  <si>
    <t>015200000090100</t>
  </si>
  <si>
    <r>
      <rPr>
        <sz val="12"/>
        <rFont val="宋体"/>
        <charset val="134"/>
      </rPr>
      <t>职业技能康复训练</t>
    </r>
    <r>
      <rPr>
        <sz val="12"/>
        <rFont val="Times New Roman"/>
        <charset val="0"/>
      </rPr>
      <t>-</t>
    </r>
    <r>
      <rPr>
        <sz val="12"/>
        <rFont val="宋体"/>
        <charset val="134"/>
      </rPr>
      <t>人工智能辅助训练（扩展）</t>
    </r>
  </si>
  <si>
    <t>015200000100000</t>
  </si>
  <si>
    <t>神经发育障碍康复训练（个体）</t>
  </si>
  <si>
    <t>采用一对一的形式，根据患者发育和能力评估结果制定计划，对患者进行技能训练，帮助患儿提升能力。</t>
  </si>
  <si>
    <t>015200000100001</t>
  </si>
  <si>
    <r>
      <rPr>
        <sz val="12"/>
        <rFont val="宋体"/>
        <charset val="134"/>
      </rPr>
      <t>神经发育障碍康复训练（个体）</t>
    </r>
    <r>
      <rPr>
        <sz val="12"/>
        <rFont val="Times New Roman"/>
        <charset val="0"/>
      </rPr>
      <t>-</t>
    </r>
    <r>
      <rPr>
        <sz val="12"/>
        <rFont val="宋体"/>
        <charset val="134"/>
      </rPr>
      <t>每增加</t>
    </r>
    <r>
      <rPr>
        <sz val="12"/>
        <rFont val="Times New Roman"/>
        <charset val="0"/>
      </rPr>
      <t>10</t>
    </r>
    <r>
      <rPr>
        <sz val="12"/>
        <rFont val="宋体"/>
        <charset val="134"/>
      </rPr>
      <t>分钟（加收）</t>
    </r>
  </si>
  <si>
    <t>015200000100100</t>
  </si>
  <si>
    <r>
      <rPr>
        <sz val="12"/>
        <rFont val="宋体"/>
        <charset val="134"/>
      </rPr>
      <t>神经发育障碍康复训练（个体）</t>
    </r>
    <r>
      <rPr>
        <sz val="12"/>
        <rFont val="Times New Roman"/>
        <charset val="0"/>
      </rPr>
      <t>-</t>
    </r>
    <r>
      <rPr>
        <sz val="12"/>
        <rFont val="宋体"/>
        <charset val="134"/>
      </rPr>
      <t>人工智能辅助训练（扩展）</t>
    </r>
  </si>
  <si>
    <t>015200000110000</t>
  </si>
  <si>
    <t>神经发育障碍康复训练（团体）</t>
  </si>
  <si>
    <t>通过一对多的形式，根据患者发育和能力评估结果制定计划，对患者进行技能训练，帮助患儿提升能力。</t>
  </si>
  <si>
    <t>015200000110001</t>
  </si>
  <si>
    <r>
      <rPr>
        <sz val="12"/>
        <rFont val="宋体"/>
        <charset val="134"/>
      </rPr>
      <t>神经发育障碍康复训练（团体）</t>
    </r>
    <r>
      <rPr>
        <sz val="12"/>
        <rFont val="Times New Roman"/>
        <charset val="0"/>
      </rPr>
      <t>-</t>
    </r>
    <r>
      <rPr>
        <sz val="12"/>
        <rFont val="宋体"/>
        <charset val="134"/>
      </rPr>
      <t>每增加</t>
    </r>
    <r>
      <rPr>
        <sz val="12"/>
        <rFont val="Times New Roman"/>
        <charset val="0"/>
      </rPr>
      <t>10</t>
    </r>
    <r>
      <rPr>
        <sz val="12"/>
        <rFont val="宋体"/>
        <charset val="134"/>
      </rPr>
      <t>分钟（加收）</t>
    </r>
  </si>
  <si>
    <t>015200000110100</t>
  </si>
  <si>
    <r>
      <rPr>
        <sz val="12"/>
        <rFont val="宋体"/>
        <charset val="134"/>
      </rPr>
      <t>神经发育障碍康复训练（团体）</t>
    </r>
    <r>
      <rPr>
        <sz val="12"/>
        <rFont val="Times New Roman"/>
        <charset val="0"/>
      </rPr>
      <t>-</t>
    </r>
    <r>
      <rPr>
        <sz val="12"/>
        <rFont val="宋体"/>
        <charset val="134"/>
      </rPr>
      <t>人工智能辅助训练（扩展）</t>
    </r>
  </si>
  <si>
    <t>D</t>
  </si>
  <si>
    <t>015100000010000</t>
  </si>
  <si>
    <t>认知功能检查</t>
  </si>
  <si>
    <t>应用常用工具、仪器设备和软件程序等方式，对患者的记忆、注意、执行等认知功能水平进行测评分析，做出认知功能有无障碍及严重程度的判断。</t>
  </si>
  <si>
    <t>所定价格涵盖资料收集、状态评估、应用各种方式测查、分析、得出结论等步骤所需的人力资源、设备成本与基本物质资源消耗。</t>
  </si>
  <si>
    <t>不与临床量表项目同时收取。</t>
  </si>
  <si>
    <t>015100000010100</t>
  </si>
  <si>
    <r>
      <rPr>
        <sz val="12"/>
        <rFont val="宋体"/>
        <charset val="134"/>
      </rPr>
      <t>认知功能检查</t>
    </r>
    <r>
      <rPr>
        <sz val="12"/>
        <rFont val="Times New Roman"/>
        <charset val="0"/>
      </rPr>
      <t>-</t>
    </r>
    <r>
      <rPr>
        <sz val="12"/>
        <rFont val="宋体"/>
        <charset val="134"/>
      </rPr>
      <t>人工智能辅助检查（扩展）</t>
    </r>
  </si>
  <si>
    <t>015100000020000</t>
  </si>
  <si>
    <t>吞咽功能检查</t>
  </si>
  <si>
    <t>应用各种筛查技术以及食物稠度粘度测试等临床吞咽功能检查方式，对影响患者吞咽过程的器官结构及功能进行检查，做出吞咽功能有无障碍及严重程度的判断。</t>
  </si>
  <si>
    <t>015100000020100</t>
  </si>
  <si>
    <r>
      <rPr>
        <sz val="12"/>
        <rFont val="宋体"/>
        <charset val="134"/>
      </rPr>
      <t>吞咽功能检查</t>
    </r>
    <r>
      <rPr>
        <sz val="12"/>
        <rFont val="Times New Roman"/>
        <charset val="0"/>
      </rPr>
      <t>-</t>
    </r>
    <r>
      <rPr>
        <sz val="12"/>
        <rFont val="宋体"/>
        <charset val="134"/>
      </rPr>
      <t>人工智能辅助检查（扩展）</t>
    </r>
  </si>
  <si>
    <t>015100000030000</t>
  </si>
  <si>
    <t>言语功能检查</t>
  </si>
  <si>
    <r>
      <rPr>
        <sz val="12"/>
        <rFont val="宋体"/>
        <charset val="134"/>
      </rPr>
      <t>应用言语</t>
    </r>
    <r>
      <rPr>
        <sz val="12"/>
        <rFont val="Times New Roman"/>
        <charset val="0"/>
      </rPr>
      <t>-</t>
    </r>
    <r>
      <rPr>
        <sz val="12"/>
        <rFont val="宋体"/>
        <charset val="134"/>
      </rPr>
      <t>语言筛查工具及设备、构音评估方法等手段，对患者的发声、构音等言语能力及听理解、复述、朗读等语言能力进行测查分析，做出言语</t>
    </r>
    <r>
      <rPr>
        <sz val="12"/>
        <rFont val="Times New Roman"/>
        <charset val="0"/>
      </rPr>
      <t>-</t>
    </r>
    <r>
      <rPr>
        <sz val="12"/>
        <rFont val="宋体"/>
        <charset val="134"/>
      </rPr>
      <t>语言功能有无障碍及严重程度的判断。</t>
    </r>
  </si>
  <si>
    <t>015100000030100</t>
  </si>
  <si>
    <r>
      <rPr>
        <sz val="12"/>
        <rFont val="宋体"/>
        <charset val="134"/>
      </rPr>
      <t>言语功能检查</t>
    </r>
    <r>
      <rPr>
        <sz val="12"/>
        <rFont val="Times New Roman"/>
        <charset val="0"/>
      </rPr>
      <t>-</t>
    </r>
    <r>
      <rPr>
        <sz val="12"/>
        <rFont val="宋体"/>
        <charset val="134"/>
      </rPr>
      <t>人工智能辅助检查（扩展）</t>
    </r>
  </si>
  <si>
    <t>015100000040000</t>
  </si>
  <si>
    <t>运动功能检查</t>
  </si>
  <si>
    <t>应用各种方式，对患者的肌力、关节活动范围、平衡功能、步态、体态等运动功能进行测查分析，做出运动功能有无障碍及严重程度的判断。</t>
  </si>
  <si>
    <t>所定价格涵盖资料收集、状态评估、应用各种方式测查、分析、得出结论等步骤所需的人力资源与基本物质资源消耗。</t>
  </si>
  <si>
    <t>015100000040100</t>
  </si>
  <si>
    <r>
      <rPr>
        <sz val="12"/>
        <rFont val="宋体"/>
        <charset val="134"/>
      </rPr>
      <t>运动功能检查</t>
    </r>
    <r>
      <rPr>
        <sz val="12"/>
        <rFont val="Times New Roman"/>
        <charset val="0"/>
      </rPr>
      <t>-</t>
    </r>
    <r>
      <rPr>
        <sz val="12"/>
        <rFont val="宋体"/>
        <charset val="134"/>
      </rPr>
      <t>人工智能辅助检查（扩展）</t>
    </r>
  </si>
  <si>
    <t>015100000050000</t>
  </si>
  <si>
    <t>脏器功能检查</t>
  </si>
  <si>
    <t>应用各种工具、仪器设备等方式，对患者的运动心功能、运动肺功能、呼吸肌功能、膀胱容量等脏器功能进行检查分析，做出脏器功能有无障碍及严重程度的判断。</t>
  </si>
  <si>
    <t>015100000050100</t>
  </si>
  <si>
    <r>
      <rPr>
        <sz val="12"/>
        <rFont val="宋体"/>
        <charset val="134"/>
      </rPr>
      <t>脏器功能检查</t>
    </r>
    <r>
      <rPr>
        <sz val="12"/>
        <rFont val="Times New Roman"/>
        <charset val="0"/>
      </rPr>
      <t>-</t>
    </r>
    <r>
      <rPr>
        <sz val="12"/>
        <rFont val="宋体"/>
        <charset val="134"/>
      </rPr>
      <t>人工智能辅助检查（扩展）</t>
    </r>
  </si>
  <si>
    <t>015100000060000</t>
  </si>
  <si>
    <t>神经发育障碍检查</t>
  </si>
  <si>
    <t>由受培训专业人员、运用专门工具对于患者的认知、注意力、执行功能、社会、情感、智力、运动能力的发育和发展进行评估结果，为神经发育障碍患者的诊断、治疗和康复提供依据。</t>
  </si>
  <si>
    <t>015100000060100</t>
  </si>
  <si>
    <r>
      <rPr>
        <sz val="12"/>
        <rFont val="宋体"/>
        <charset val="134"/>
      </rPr>
      <t>神经发育障碍检查</t>
    </r>
    <r>
      <rPr>
        <sz val="12"/>
        <rFont val="Times New Roman"/>
        <charset val="0"/>
      </rPr>
      <t>-</t>
    </r>
    <r>
      <rPr>
        <sz val="12"/>
        <rFont val="宋体"/>
        <charset val="134"/>
      </rPr>
      <t>人工智能辅助检查（扩展）</t>
    </r>
  </si>
  <si>
    <t>G</t>
  </si>
  <si>
    <t>013301000010000</t>
  </si>
  <si>
    <t>局部麻醉费（局部浸润麻醉）</t>
  </si>
  <si>
    <t>通过对特定部位注射给药，暂时阻断神经传导，达到局部麻醉效果。</t>
  </si>
  <si>
    <t>所定价格涵盖核对信息、配制、定位、消毒、反复穿刺、注射、拔针、按压、监测、观察、处理用物等所需的人力资源和基本物质资源消耗。</t>
  </si>
  <si>
    <t>一个手术部位按一次麻醉计算。</t>
  </si>
  <si>
    <t>麻醉类</t>
  </si>
  <si>
    <t>013301000020000</t>
  </si>
  <si>
    <t>局部麻醉费（局部静脉麻醉）</t>
  </si>
  <si>
    <t>通过对静脉注射给药，暂时阻断神经传导，达到局部麻醉效果。</t>
  </si>
  <si>
    <t>所定价格涵盖核对信息、配制、定位、消毒、穿刺、注射、拔针、按压、监测、观察、处理用物等所需的人力资源和基本物质资源消耗。</t>
  </si>
  <si>
    <t>013301000030000</t>
  </si>
  <si>
    <t>局部麻醉费（神经阻滞麻醉）</t>
  </si>
  <si>
    <t>通过对特定的外周神经根、神经节、神经干、神经丛或筋膜平面注射药物，暂时阻断神经传导，达到区域性麻醉效果。</t>
  </si>
  <si>
    <t>所定价格涵盖患者准备、定位、消毒、穿刺、注药、监测、观察、记录、处理用物及必要时置管等步骤所需的人力资源和基本物质资源消耗。</t>
  </si>
  <si>
    <r>
      <rPr>
        <sz val="12"/>
        <rFont val="Times New Roman"/>
        <charset val="0"/>
      </rPr>
      <t>1.</t>
    </r>
    <r>
      <rPr>
        <sz val="12"/>
        <rFont val="宋体"/>
        <charset val="134"/>
      </rPr>
      <t>单次以</t>
    </r>
    <r>
      <rPr>
        <sz val="12"/>
        <rFont val="Times New Roman"/>
        <charset val="0"/>
      </rPr>
      <t>2</t>
    </r>
    <r>
      <rPr>
        <sz val="12"/>
        <rFont val="宋体"/>
        <charset val="134"/>
      </rPr>
      <t>小时为基础计费，超过</t>
    </r>
    <r>
      <rPr>
        <sz val="12"/>
        <rFont val="Times New Roman"/>
        <charset val="0"/>
      </rPr>
      <t>2</t>
    </r>
    <r>
      <rPr>
        <sz val="12"/>
        <rFont val="宋体"/>
        <charset val="134"/>
      </rPr>
      <t>小时每小时加收</t>
    </r>
    <r>
      <rPr>
        <sz val="12"/>
        <rFont val="Times New Roman"/>
        <charset val="0"/>
      </rPr>
      <t>25%</t>
    </r>
    <r>
      <rPr>
        <sz val="12"/>
        <rFont val="宋体"/>
        <charset val="134"/>
      </rPr>
      <t>。</t>
    </r>
    <r>
      <rPr>
        <sz val="12"/>
        <rFont val="Times New Roman"/>
        <charset val="0"/>
      </rPr>
      <t xml:space="preserve">
2.</t>
    </r>
    <r>
      <rPr>
        <sz val="12"/>
        <rFont val="宋体"/>
        <charset val="134"/>
      </rPr>
      <t>心胸外科保留自主呼吸的精准静脉麻醉联合区域性神经阻滞主项目按</t>
    </r>
    <r>
      <rPr>
        <sz val="12"/>
        <rFont val="Times New Roman"/>
        <charset val="0"/>
      </rPr>
      <t>3</t>
    </r>
    <r>
      <rPr>
        <sz val="12"/>
        <rFont val="宋体"/>
        <charset val="134"/>
      </rPr>
      <t>次计价。</t>
    </r>
    <r>
      <rPr>
        <sz val="12"/>
        <rFont val="Times New Roman"/>
        <charset val="0"/>
      </rPr>
      <t xml:space="preserve">
3.</t>
    </r>
    <r>
      <rPr>
        <sz val="12"/>
        <rFont val="宋体"/>
        <charset val="134"/>
      </rPr>
      <t>上颌、下颌、舌</t>
    </r>
    <r>
      <rPr>
        <sz val="12"/>
        <rFont val="Times New Roman"/>
        <charset val="0"/>
      </rPr>
      <t>/</t>
    </r>
    <r>
      <rPr>
        <sz val="12"/>
        <rFont val="宋体"/>
        <charset val="134"/>
      </rPr>
      <t>下牙槽神经阻滞麻醉按</t>
    </r>
    <r>
      <rPr>
        <sz val="12"/>
        <rFont val="Times New Roman"/>
        <charset val="0"/>
      </rPr>
      <t>118</t>
    </r>
    <r>
      <rPr>
        <sz val="12"/>
        <rFont val="宋体"/>
        <charset val="134"/>
      </rPr>
      <t>元计收。</t>
    </r>
  </si>
  <si>
    <t>013301000030001</t>
  </si>
  <si>
    <r>
      <rPr>
        <sz val="12"/>
        <rFont val="宋体"/>
        <charset val="134"/>
      </rPr>
      <t>局部麻醉费（神经阻滞麻醉）</t>
    </r>
    <r>
      <rPr>
        <sz val="12"/>
        <rFont val="Times New Roman"/>
        <charset val="0"/>
      </rPr>
      <t>-</t>
    </r>
    <r>
      <rPr>
        <sz val="12"/>
        <rFont val="宋体"/>
        <charset val="134"/>
      </rPr>
      <t>儿童（加收）</t>
    </r>
  </si>
  <si>
    <r>
      <rPr>
        <sz val="12"/>
        <rFont val="宋体"/>
        <charset val="134"/>
      </rPr>
      <t>单次以</t>
    </r>
    <r>
      <rPr>
        <sz val="12"/>
        <rFont val="Times New Roman"/>
        <charset val="0"/>
      </rPr>
      <t>2</t>
    </r>
    <r>
      <rPr>
        <sz val="12"/>
        <rFont val="宋体"/>
        <charset val="134"/>
      </rPr>
      <t>小时为基础计费，超过</t>
    </r>
    <r>
      <rPr>
        <sz val="12"/>
        <rFont val="Times New Roman"/>
        <charset val="0"/>
      </rPr>
      <t>2</t>
    </r>
    <r>
      <rPr>
        <sz val="12"/>
        <rFont val="宋体"/>
        <charset val="134"/>
      </rPr>
      <t>小时每小时加收</t>
    </r>
    <r>
      <rPr>
        <sz val="12"/>
        <rFont val="Times New Roman"/>
        <charset val="0"/>
      </rPr>
      <t>25%</t>
    </r>
    <r>
      <rPr>
        <sz val="12"/>
        <rFont val="宋体"/>
        <charset val="134"/>
      </rPr>
      <t>。</t>
    </r>
  </si>
  <si>
    <t>013301000030002</t>
  </si>
  <si>
    <r>
      <rPr>
        <sz val="12"/>
        <rFont val="宋体"/>
        <charset val="134"/>
      </rPr>
      <t>局部麻醉费（神经阻滞麻醉）</t>
    </r>
    <r>
      <rPr>
        <sz val="12"/>
        <rFont val="Times New Roman"/>
        <charset val="0"/>
      </rPr>
      <t>-80</t>
    </r>
    <r>
      <rPr>
        <sz val="12"/>
        <rFont val="宋体"/>
        <charset val="134"/>
      </rPr>
      <t>周岁及以上患者（加收）</t>
    </r>
  </si>
  <si>
    <t>013301000040000</t>
  </si>
  <si>
    <t>局部麻醉费（椎管内麻醉）</t>
  </si>
  <si>
    <t>通过将药物注射到椎管内，阻断神经传导，达到麻醉效果。</t>
  </si>
  <si>
    <t>013301000040001</t>
  </si>
  <si>
    <r>
      <rPr>
        <sz val="12"/>
        <rFont val="宋体"/>
        <charset val="134"/>
      </rPr>
      <t>局部麻醉费（椎管内麻醉）</t>
    </r>
    <r>
      <rPr>
        <sz val="12"/>
        <rFont val="Times New Roman"/>
        <charset val="0"/>
      </rPr>
      <t>-</t>
    </r>
    <r>
      <rPr>
        <sz val="12"/>
        <rFont val="宋体"/>
        <charset val="134"/>
      </rPr>
      <t>儿童（加收）</t>
    </r>
  </si>
  <si>
    <t>013301000040002</t>
  </si>
  <si>
    <r>
      <rPr>
        <sz val="12"/>
        <rFont val="宋体"/>
        <charset val="134"/>
      </rPr>
      <t>局部麻醉费（椎管内麻醉）</t>
    </r>
    <r>
      <rPr>
        <sz val="12"/>
        <rFont val="Times New Roman"/>
        <charset val="0"/>
      </rPr>
      <t>-80</t>
    </r>
    <r>
      <rPr>
        <sz val="12"/>
        <rFont val="宋体"/>
        <charset val="134"/>
      </rPr>
      <t>周岁及以上患者（加收）</t>
    </r>
  </si>
  <si>
    <t>013301000040011</t>
  </si>
  <si>
    <r>
      <rPr>
        <sz val="12"/>
        <rFont val="宋体"/>
        <charset val="134"/>
      </rPr>
      <t>局部麻醉费（椎管内麻醉）</t>
    </r>
    <r>
      <rPr>
        <sz val="12"/>
        <rFont val="Times New Roman"/>
        <charset val="0"/>
      </rPr>
      <t>-</t>
    </r>
    <r>
      <rPr>
        <sz val="12"/>
        <rFont val="宋体"/>
        <charset val="134"/>
      </rPr>
      <t>腰麻硬膜外联合阻滞（加收）</t>
    </r>
  </si>
  <si>
    <t>013301000050000</t>
  </si>
  <si>
    <t>全身麻醉费（无插管全麻）</t>
  </si>
  <si>
    <t>通过药物注入或吸入气体，作用于中枢神经系统，达到短暂且保留自主呼吸的全身麻醉效果。</t>
  </si>
  <si>
    <t>所定价格涵盖患者准备、消毒、静脉穿刺、注药或吸入、监测、观察、记录、患者复苏、处理用物等步骤所需的人力资源和基本物质资源消耗。</t>
  </si>
  <si>
    <t>013301000050001</t>
  </si>
  <si>
    <r>
      <rPr>
        <sz val="12"/>
        <rFont val="宋体"/>
        <charset val="134"/>
      </rPr>
      <t>全身麻醉费（无插管全麻）</t>
    </r>
    <r>
      <rPr>
        <sz val="12"/>
        <rFont val="Times New Roman"/>
        <charset val="0"/>
      </rPr>
      <t>-</t>
    </r>
    <r>
      <rPr>
        <sz val="12"/>
        <rFont val="宋体"/>
        <charset val="134"/>
      </rPr>
      <t>儿童（加收）</t>
    </r>
  </si>
  <si>
    <t>013301000050002</t>
  </si>
  <si>
    <r>
      <rPr>
        <sz val="12"/>
        <rFont val="宋体"/>
        <charset val="134"/>
      </rPr>
      <t>全身麻醉费（无插管全麻）</t>
    </r>
    <r>
      <rPr>
        <sz val="12"/>
        <rFont val="Times New Roman"/>
        <charset val="0"/>
      </rPr>
      <t>-80</t>
    </r>
    <r>
      <rPr>
        <sz val="12"/>
        <rFont val="宋体"/>
        <charset val="134"/>
      </rPr>
      <t>周岁及以上患者（加收）</t>
    </r>
  </si>
  <si>
    <t>013301000060000</t>
  </si>
  <si>
    <t>全身麻醉费（插管或喉罩）</t>
  </si>
  <si>
    <t>通过将药物（气体）注入或吸入体内，暂时抑制中枢神经系统，以插管或喉罩维持呼吸，达到可逆性神志消失、全身痛觉消失、遗忘、反射抑制的全身麻醉效果。</t>
  </si>
  <si>
    <t>所定价格涵盖设备准备、患者准备、静脉穿刺、注药或吸入、气管插管、机械通气、监测、观察、记录、患者复苏、处理用物等步骤所需的人力资源和基本物质资源消耗。</t>
  </si>
  <si>
    <t>013301000060001</t>
  </si>
  <si>
    <r>
      <rPr>
        <sz val="12"/>
        <rFont val="宋体"/>
        <charset val="134"/>
      </rPr>
      <t>全身麻醉费（插管或喉罩）</t>
    </r>
    <r>
      <rPr>
        <sz val="12"/>
        <rFont val="Times New Roman"/>
        <charset val="0"/>
      </rPr>
      <t>-</t>
    </r>
    <r>
      <rPr>
        <sz val="12"/>
        <rFont val="宋体"/>
        <charset val="134"/>
      </rPr>
      <t>儿童（加收）</t>
    </r>
  </si>
  <si>
    <t>013301000060002</t>
  </si>
  <si>
    <r>
      <rPr>
        <sz val="12"/>
        <rFont val="宋体"/>
        <charset val="134"/>
      </rPr>
      <t>全身麻醉费（插管或喉罩）</t>
    </r>
    <r>
      <rPr>
        <sz val="12"/>
        <rFont val="Times New Roman"/>
        <charset val="0"/>
      </rPr>
      <t>-80</t>
    </r>
    <r>
      <rPr>
        <sz val="12"/>
        <rFont val="宋体"/>
        <charset val="134"/>
      </rPr>
      <t>周岁及以上患者（加收）</t>
    </r>
  </si>
  <si>
    <t>013301000060011</t>
  </si>
  <si>
    <r>
      <rPr>
        <sz val="12"/>
        <rFont val="宋体"/>
        <charset val="134"/>
      </rPr>
      <t>全身麻醉费（插管或喉罩）</t>
    </r>
    <r>
      <rPr>
        <sz val="12"/>
        <rFont val="Times New Roman"/>
        <charset val="0"/>
      </rPr>
      <t>-</t>
    </r>
    <r>
      <rPr>
        <sz val="12"/>
        <rFont val="宋体"/>
        <charset val="134"/>
      </rPr>
      <t>危重患者（加收）</t>
    </r>
  </si>
  <si>
    <t>013301000070000</t>
  </si>
  <si>
    <t>全身麻醉费（支气管内麻醉）</t>
  </si>
  <si>
    <t>通过将药物（气体）注入或吸入体内，暂时抑制中枢神经系统，支气管插管，单肺通气，达到可逆性神志消失、全身痛觉消失、遗忘、反射抑制的全身麻醉效果。</t>
  </si>
  <si>
    <t>所定价格涵盖设备准备、患者准备、静脉穿刺、注药或吸入、支气管插管或封堵、机械通气、监测、观察、记录、患者复苏、处理用物等步骤所需的人力资源和基本物质资源消耗。</t>
  </si>
  <si>
    <t>013301000070001</t>
  </si>
  <si>
    <r>
      <rPr>
        <sz val="12"/>
        <rFont val="宋体"/>
        <charset val="134"/>
      </rPr>
      <t>全身麻醉费（支气管内麻醉）</t>
    </r>
    <r>
      <rPr>
        <sz val="12"/>
        <rFont val="Times New Roman"/>
        <charset val="0"/>
      </rPr>
      <t>-</t>
    </r>
    <r>
      <rPr>
        <sz val="12"/>
        <rFont val="宋体"/>
        <charset val="134"/>
      </rPr>
      <t>儿童（加收）</t>
    </r>
  </si>
  <si>
    <t>013301000070002</t>
  </si>
  <si>
    <r>
      <rPr>
        <sz val="12"/>
        <rFont val="宋体"/>
        <charset val="134"/>
      </rPr>
      <t>全身麻醉费（支气管内麻醉）</t>
    </r>
    <r>
      <rPr>
        <sz val="12"/>
        <rFont val="Times New Roman"/>
        <charset val="0"/>
      </rPr>
      <t>-80</t>
    </r>
    <r>
      <rPr>
        <sz val="12"/>
        <rFont val="宋体"/>
        <charset val="134"/>
      </rPr>
      <t>周岁及以上患者（加收）</t>
    </r>
  </si>
  <si>
    <t>013301000070011</t>
  </si>
  <si>
    <r>
      <rPr>
        <sz val="12"/>
        <rFont val="宋体"/>
        <charset val="134"/>
      </rPr>
      <t>全身麻醉费（支气管内麻醉）</t>
    </r>
    <r>
      <rPr>
        <sz val="12"/>
        <rFont val="Times New Roman"/>
        <charset val="0"/>
      </rPr>
      <t>-</t>
    </r>
    <r>
      <rPr>
        <sz val="12"/>
        <rFont val="宋体"/>
        <charset val="134"/>
      </rPr>
      <t>危重患者（加收）</t>
    </r>
  </si>
  <si>
    <t>013301000080000</t>
  </si>
  <si>
    <t>全身麻醉费（深低温停循环麻醉）</t>
  </si>
  <si>
    <t>指通过各类方式，降低患者核心体温，暂停体外循环，进行手术治疗。</t>
  </si>
  <si>
    <t>013301000080001</t>
  </si>
  <si>
    <r>
      <rPr>
        <sz val="12"/>
        <rFont val="宋体"/>
        <charset val="134"/>
      </rPr>
      <t>全身麻醉费（深低温停循环麻醉）</t>
    </r>
    <r>
      <rPr>
        <sz val="12"/>
        <rFont val="Times New Roman"/>
        <charset val="0"/>
      </rPr>
      <t>-</t>
    </r>
    <r>
      <rPr>
        <sz val="12"/>
        <rFont val="宋体"/>
        <charset val="134"/>
      </rPr>
      <t>儿童（加收）</t>
    </r>
  </si>
  <si>
    <t>013301000080002</t>
  </si>
  <si>
    <r>
      <rPr>
        <sz val="12"/>
        <rFont val="宋体"/>
        <charset val="134"/>
      </rPr>
      <t>全身麻醉费（深低温停循环麻醉）</t>
    </r>
    <r>
      <rPr>
        <sz val="12"/>
        <rFont val="Times New Roman"/>
        <charset val="0"/>
      </rPr>
      <t>-80</t>
    </r>
    <r>
      <rPr>
        <sz val="12"/>
        <rFont val="宋体"/>
        <charset val="134"/>
      </rPr>
      <t>周岁及以上患者（加收）</t>
    </r>
  </si>
  <si>
    <t>013301000090000</t>
  </si>
  <si>
    <t>麻醉监护下镇静</t>
  </si>
  <si>
    <t>在麻醉监护下通过药物注入使病人处于清醒镇静状态，为有创操作或检查创造条件。</t>
  </si>
  <si>
    <t>所定价格涵盖设备准备、患者准备、注药、监测、观察、记录、处理用物等步骤所需的人力资源和基本物质资源消耗。</t>
  </si>
  <si>
    <t>013301000090001</t>
  </si>
  <si>
    <r>
      <rPr>
        <sz val="12"/>
        <rFont val="宋体"/>
        <charset val="134"/>
      </rPr>
      <t>麻醉监护下镇静</t>
    </r>
    <r>
      <rPr>
        <sz val="12"/>
        <rFont val="Times New Roman"/>
        <charset val="0"/>
      </rPr>
      <t>-</t>
    </r>
    <r>
      <rPr>
        <sz val="12"/>
        <rFont val="宋体"/>
        <charset val="134"/>
      </rPr>
      <t>儿童（加收）</t>
    </r>
  </si>
  <si>
    <t>013301000090002</t>
  </si>
  <si>
    <r>
      <rPr>
        <sz val="12"/>
        <rFont val="宋体"/>
        <charset val="134"/>
      </rPr>
      <t>麻醉监护下镇静</t>
    </r>
    <r>
      <rPr>
        <sz val="12"/>
        <rFont val="Times New Roman"/>
        <charset val="0"/>
      </rPr>
      <t>-80</t>
    </r>
    <r>
      <rPr>
        <sz val="12"/>
        <rFont val="宋体"/>
        <charset val="134"/>
      </rPr>
      <t>周岁及以上患者（加收）</t>
    </r>
  </si>
  <si>
    <t>013301000100000</t>
  </si>
  <si>
    <t>连续镇痛</t>
  </si>
  <si>
    <t>通过储药装置或输注泵进行持续镇痛。</t>
  </si>
  <si>
    <t>所定价格涵盖注药、观察、记录、处理用物等步骤所需的人力资源和基本物质资源消耗。</t>
  </si>
  <si>
    <t>日</t>
  </si>
  <si>
    <r>
      <rPr>
        <sz val="12"/>
        <rFont val="Times New Roman"/>
        <charset val="0"/>
      </rPr>
      <t>1.</t>
    </r>
    <r>
      <rPr>
        <sz val="12"/>
        <rFont val="宋体"/>
        <charset val="134"/>
      </rPr>
      <t>本项目不含穿刺、置管费用。</t>
    </r>
    <r>
      <rPr>
        <sz val="12"/>
        <rFont val="Times New Roman"/>
        <charset val="0"/>
      </rPr>
      <t xml:space="preserve">
2.</t>
    </r>
    <r>
      <rPr>
        <sz val="12"/>
        <rFont val="宋体"/>
        <charset val="134"/>
      </rPr>
      <t>连续镇痛包括但不限于椎管内镇痛、静脉连续镇痛、神经阻滞连续镇痛等。</t>
    </r>
  </si>
  <si>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</si>
  <si>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</si>
  <si>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</si>
  <si>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</si>
  <si>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r>
      <rPr>
        <sz val="12"/>
        <rFont val="宋体"/>
        <charset val="134"/>
      </rPr>
      <t>不与心理咨询同时收取。每日治疗超过</t>
    </r>
    <r>
      <rPr>
        <sz val="12"/>
        <rFont val="Times New Roman"/>
        <charset val="0"/>
      </rPr>
      <t>60</t>
    </r>
    <r>
      <rPr>
        <sz val="12"/>
        <rFont val="宋体"/>
        <charset val="134"/>
      </rPr>
      <t>分钟按</t>
    </r>
    <r>
      <rPr>
        <sz val="12"/>
        <rFont val="Times New Roman"/>
        <charset val="0"/>
      </rPr>
      <t>60</t>
    </r>
    <r>
      <rPr>
        <sz val="12"/>
        <rFont val="宋体"/>
        <charset val="134"/>
      </rPr>
      <t>分钟收费。</t>
    </r>
  </si>
  <si>
    <t>精神治疗类</t>
  </si>
  <si>
    <t>013115000010001</t>
  </si>
  <si>
    <r>
      <rPr>
        <sz val="12"/>
        <rFont val="宋体"/>
        <charset val="134"/>
      </rPr>
      <t>心理治疗（个体）</t>
    </r>
    <r>
      <rPr>
        <sz val="12"/>
        <rFont val="Times New Roman"/>
        <charset val="0"/>
      </rPr>
      <t>-</t>
    </r>
    <r>
      <rPr>
        <sz val="12"/>
        <rFont val="宋体"/>
        <charset val="134"/>
      </rPr>
      <t>每增加10分钟（加收）</t>
    </r>
  </si>
  <si>
    <r>
      <rPr>
        <sz val="12"/>
        <rFont val="宋体"/>
        <charset val="134"/>
      </rPr>
      <t>由精神科医师、心理治疗师针对精神心理障碍患者的精神心理问题，采取合适的心理干预治疗技术，改善患者的心理疾病症状，在半小时基础上每增加</t>
    </r>
    <r>
      <rPr>
        <sz val="12"/>
        <rFont val="Times New Roman"/>
        <charset val="0"/>
      </rPr>
      <t>10</t>
    </r>
    <r>
      <rPr>
        <sz val="12"/>
        <rFont val="宋体"/>
        <charset val="134"/>
      </rPr>
      <t>分钟。</t>
    </r>
  </si>
  <si>
    <t>不与心理咨询同时收取。</t>
  </si>
  <si>
    <t>013115000020000</t>
  </si>
  <si>
    <t>心理治疗（家庭）</t>
  </si>
  <si>
    <t>由精神科医师、心理治疗师针对精神心理障碍家庭的精神心理问题，采取合适的心理干预治疗技术，改善患者家庭的心理疾病症状。</t>
  </si>
  <si>
    <t>小时</t>
  </si>
  <si>
    <r>
      <rPr>
        <sz val="12"/>
        <rFont val="宋体"/>
        <charset val="134"/>
      </rPr>
      <t>不与心理咨询同时收取。每日治疗超过</t>
    </r>
    <r>
      <rPr>
        <sz val="12"/>
        <rFont val="Times New Roman"/>
        <charset val="0"/>
      </rPr>
      <t>120</t>
    </r>
    <r>
      <rPr>
        <sz val="12"/>
        <rFont val="宋体"/>
        <charset val="134"/>
      </rPr>
      <t>分钟按</t>
    </r>
    <r>
      <rPr>
        <sz val="12"/>
        <rFont val="Times New Roman"/>
        <charset val="0"/>
      </rPr>
      <t>120</t>
    </r>
    <r>
      <rPr>
        <sz val="12"/>
        <rFont val="宋体"/>
        <charset val="134"/>
      </rPr>
      <t>分钟收费。</t>
    </r>
  </si>
  <si>
    <t>013115000020001</t>
  </si>
  <si>
    <r>
      <rPr>
        <sz val="12"/>
        <rFont val="宋体"/>
        <charset val="134"/>
      </rPr>
      <t>心理治疗（家庭）</t>
    </r>
    <r>
      <rPr>
        <sz val="12"/>
        <rFont val="Times New Roman"/>
        <charset val="0"/>
      </rPr>
      <t>-</t>
    </r>
    <r>
      <rPr>
        <sz val="12"/>
        <rFont val="宋体"/>
        <charset val="134"/>
      </rPr>
      <t>每增加</t>
    </r>
    <r>
      <rPr>
        <sz val="12"/>
        <rFont val="Times New Roman"/>
        <charset val="0"/>
      </rPr>
      <t>20</t>
    </r>
    <r>
      <rPr>
        <sz val="12"/>
        <rFont val="宋体"/>
        <charset val="134"/>
      </rPr>
      <t>分钟（加收）</t>
    </r>
  </si>
  <si>
    <r>
      <rPr>
        <sz val="12"/>
        <rFont val="宋体"/>
        <charset val="134"/>
      </rPr>
      <t>由精神科医师、心理治疗师针对精神心理障碍家庭的精神心理问题，采取合适的心理干预治疗技术，改善患者家庭的心理疾病症状，在每小时基础上每增加</t>
    </r>
    <r>
      <rPr>
        <sz val="12"/>
        <rFont val="Times New Roman"/>
        <charset val="0"/>
      </rPr>
      <t>20</t>
    </r>
    <r>
      <rPr>
        <sz val="12"/>
        <rFont val="宋体"/>
        <charset val="134"/>
      </rPr>
      <t>分钟。</t>
    </r>
  </si>
  <si>
    <r>
      <rPr>
        <sz val="12"/>
        <rFont val="Times New Roman"/>
        <charset val="0"/>
      </rPr>
      <t>20</t>
    </r>
    <r>
      <rPr>
        <sz val="12"/>
        <rFont val="宋体"/>
        <charset val="134"/>
      </rPr>
      <t>分钟</t>
    </r>
  </si>
  <si>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</si>
  <si>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</si>
  <si>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</si>
  <si>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</si>
  <si>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r>
      <rPr>
        <sz val="12"/>
        <rFont val="宋体"/>
        <charset val="134"/>
      </rPr>
      <t>心理治疗（团体）</t>
    </r>
    <r>
      <rPr>
        <sz val="12"/>
        <rFont val="Times New Roman"/>
        <charset val="0"/>
      </rPr>
      <t>-</t>
    </r>
    <r>
      <rPr>
        <sz val="12"/>
        <rFont val="宋体"/>
        <charset val="134"/>
      </rPr>
      <t>每增加</t>
    </r>
    <r>
      <rPr>
        <sz val="12"/>
        <rFont val="Times New Roman"/>
        <charset val="0"/>
      </rPr>
      <t>20</t>
    </r>
    <r>
      <rPr>
        <sz val="12"/>
        <rFont val="宋体"/>
        <charset val="134"/>
      </rPr>
      <t>分钟（加收）</t>
    </r>
  </si>
  <si>
    <r>
      <rPr>
        <sz val="12"/>
        <rFont val="宋体"/>
        <charset val="134"/>
      </rPr>
      <t>由精神科医师、心理治疗师采取一对多或多对多的方式，针对精神心理障碍患者的精神心理问题，采取合适的心理干预治疗技术，改善患者的心理疾病症状，在每小时基础上每增加</t>
    </r>
    <r>
      <rPr>
        <sz val="12"/>
        <rFont val="Times New Roman"/>
        <charset val="0"/>
      </rPr>
      <t>20</t>
    </r>
    <r>
      <rPr>
        <sz val="12"/>
        <rFont val="宋体"/>
        <charset val="134"/>
      </rPr>
      <t>分钟。</t>
    </r>
  </si>
  <si>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</si>
  <si>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</si>
  <si>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</si>
  <si>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</si>
  <si>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</si>
  <si>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</si>
  <si>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</si>
  <si>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</si>
  <si>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</si>
  <si>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</si>
  <si>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r>
      <rPr>
        <sz val="12"/>
        <rFont val="宋体"/>
        <charset val="134"/>
      </rPr>
      <t>电休克治疗（</t>
    </r>
    <r>
      <rPr>
        <sz val="12"/>
        <rFont val="Times New Roman"/>
        <charset val="0"/>
      </rPr>
      <t>ECT</t>
    </r>
    <r>
      <rPr>
        <sz val="12"/>
        <rFont val="宋体"/>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</si>
  <si>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</si>
  <si>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</si>
  <si>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</si>
  <si>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</si>
  <si>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</si>
  <si>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</si>
  <si>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</si>
  <si>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r>
      <rPr>
        <sz val="12"/>
        <rFont val="宋体"/>
        <charset val="134"/>
      </rPr>
      <t>每日治疗超过</t>
    </r>
    <r>
      <rPr>
        <sz val="12"/>
        <rFont val="Times New Roman"/>
        <charset val="0"/>
      </rPr>
      <t>60</t>
    </r>
    <r>
      <rPr>
        <sz val="12"/>
        <rFont val="宋体"/>
        <charset val="134"/>
      </rPr>
      <t>分钟按</t>
    </r>
    <r>
      <rPr>
        <sz val="12"/>
        <rFont val="Times New Roman"/>
        <charset val="0"/>
      </rPr>
      <t>60</t>
    </r>
    <r>
      <rPr>
        <sz val="12"/>
        <rFont val="宋体"/>
        <charset val="134"/>
      </rPr>
      <t>分钟收费。</t>
    </r>
  </si>
  <si>
    <t>013115000060001</t>
  </si>
  <si>
    <r>
      <rPr>
        <sz val="12"/>
        <rFont val="宋体"/>
        <charset val="134"/>
      </rPr>
      <t>精神康复治疗（个人）</t>
    </r>
    <r>
      <rPr>
        <sz val="12"/>
        <rFont val="Times New Roman"/>
        <charset val="0"/>
      </rPr>
      <t>-</t>
    </r>
    <r>
      <rPr>
        <sz val="12"/>
        <rFont val="宋体"/>
        <charset val="134"/>
      </rPr>
      <t>每增加</t>
    </r>
    <r>
      <rPr>
        <sz val="12"/>
        <rFont val="Times New Roman"/>
        <charset val="0"/>
      </rPr>
      <t>10</t>
    </r>
    <r>
      <rPr>
        <sz val="12"/>
        <rFont val="宋体"/>
        <charset val="134"/>
      </rPr>
      <t>分钟（加收）</t>
    </r>
  </si>
  <si>
    <r>
      <rPr>
        <sz val="12"/>
        <rFont val="宋体"/>
        <charset val="134"/>
      </rPr>
      <t>通过一对一的形式，由专业的人员对相关精神障碍的患者进行康复训练，改善其精神状态，在半小时基础上每增加</t>
    </r>
    <r>
      <rPr>
        <sz val="12"/>
        <rFont val="Times New Roman"/>
        <charset val="0"/>
      </rPr>
      <t>10</t>
    </r>
    <r>
      <rPr>
        <sz val="12"/>
        <rFont val="宋体"/>
        <charset val="134"/>
      </rPr>
      <t>分钟。</t>
    </r>
  </si>
  <si>
    <t>013115000070000</t>
  </si>
  <si>
    <t>精神康复治疗（家庭）</t>
  </si>
  <si>
    <t>通过一对多的形式，由专业的人员对相关精神障碍的患者家庭进行康复训练，改善其精神状态。</t>
  </si>
  <si>
    <r>
      <rPr>
        <sz val="12"/>
        <rFont val="宋体"/>
        <charset val="134"/>
      </rPr>
      <t>每日治疗超过</t>
    </r>
    <r>
      <rPr>
        <sz val="12"/>
        <rFont val="Times New Roman"/>
        <charset val="0"/>
      </rPr>
      <t>90</t>
    </r>
    <r>
      <rPr>
        <sz val="12"/>
        <rFont val="宋体"/>
        <charset val="134"/>
      </rPr>
      <t>分钟按</t>
    </r>
    <r>
      <rPr>
        <sz val="12"/>
        <rFont val="Times New Roman"/>
        <charset val="0"/>
      </rPr>
      <t>90</t>
    </r>
    <r>
      <rPr>
        <sz val="12"/>
        <rFont val="宋体"/>
        <charset val="134"/>
      </rPr>
      <t>分钟收费。</t>
    </r>
  </si>
  <si>
    <t>013115000070001</t>
  </si>
  <si>
    <r>
      <rPr>
        <sz val="12"/>
        <rFont val="宋体"/>
        <charset val="134"/>
      </rPr>
      <t>精神康复治疗（家庭）</t>
    </r>
    <r>
      <rPr>
        <sz val="12"/>
        <rFont val="Times New Roman"/>
        <charset val="0"/>
      </rPr>
      <t>-</t>
    </r>
    <r>
      <rPr>
        <sz val="12"/>
        <rFont val="宋体"/>
        <charset val="134"/>
      </rPr>
      <t>每增加</t>
    </r>
    <r>
      <rPr>
        <sz val="12"/>
        <rFont val="Times New Roman"/>
        <charset val="0"/>
      </rPr>
      <t>10</t>
    </r>
    <r>
      <rPr>
        <sz val="12"/>
        <rFont val="宋体"/>
        <charset val="134"/>
      </rPr>
      <t>分钟（加收）</t>
    </r>
  </si>
  <si>
    <r>
      <rPr>
        <sz val="12"/>
        <rFont val="宋体"/>
        <charset val="134"/>
      </rPr>
      <t>通过一对多的形式，由专业的人员对相关精神障碍的患者家庭进行康复训练，改善其精神状态，在半小时基础上每增加</t>
    </r>
    <r>
      <rPr>
        <sz val="12"/>
        <rFont val="Times New Roman"/>
        <charset val="0"/>
      </rPr>
      <t>10</t>
    </r>
    <r>
      <rPr>
        <sz val="12"/>
        <rFont val="宋体"/>
        <charset val="134"/>
      </rPr>
      <t>分钟。</t>
    </r>
  </si>
  <si>
    <t>013115000080000</t>
  </si>
  <si>
    <t>精神康复治疗（团体）</t>
  </si>
  <si>
    <t>通过一对多或多对多的形式，由专业的人员对相关精神障碍的患者进行康复训练，改善其精神功能状态。</t>
  </si>
  <si>
    <t>013115000080001</t>
  </si>
  <si>
    <r>
      <rPr>
        <sz val="12"/>
        <rFont val="宋体"/>
        <charset val="134"/>
      </rPr>
      <t>精神康复治疗（团体）</t>
    </r>
    <r>
      <rPr>
        <sz val="12"/>
        <rFont val="Times New Roman"/>
        <charset val="0"/>
      </rPr>
      <t>-</t>
    </r>
    <r>
      <rPr>
        <sz val="12"/>
        <rFont val="宋体"/>
        <charset val="134"/>
      </rPr>
      <t>每增加</t>
    </r>
    <r>
      <rPr>
        <sz val="12"/>
        <rFont val="Times New Roman"/>
        <charset val="0"/>
      </rPr>
      <t>10</t>
    </r>
    <r>
      <rPr>
        <sz val="12"/>
        <rFont val="宋体"/>
        <charset val="134"/>
      </rPr>
      <t>分钟（加收）</t>
    </r>
  </si>
  <si>
    <r>
      <rPr>
        <sz val="12"/>
        <rFont val="宋体"/>
        <charset val="134"/>
      </rPr>
      <t>通过一对多或多对多的形式，由专业的人员对相关精神障碍的患者进行康复训练，改善其精神功能状态，在半小时基础上每增加</t>
    </r>
    <r>
      <rPr>
        <sz val="12"/>
        <rFont val="Times New Roman"/>
        <charset val="0"/>
      </rPr>
      <t>10</t>
    </r>
    <r>
      <rPr>
        <sz val="12"/>
        <rFont val="宋体"/>
        <charset val="134"/>
      </rPr>
      <t>分钟。</t>
    </r>
  </si>
  <si>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</si>
  <si>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</si>
  <si>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</si>
  <si>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</si>
  <si>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2"/>
        <rFont val="Times New Roman"/>
        <charset val="0"/>
      </rPr>
      <t>1.</t>
    </r>
    <r>
      <rPr>
        <sz val="12"/>
        <rFont val="宋体"/>
        <charset val="134"/>
      </rPr>
      <t>精神科监护不可与精神病人护理同时收取。</t>
    </r>
    <r>
      <rPr>
        <sz val="12"/>
        <rFont val="Times New Roman"/>
        <charset val="0"/>
      </rPr>
      <t xml:space="preserve">
2.</t>
    </r>
    <r>
      <rPr>
        <sz val="12"/>
        <rFont val="宋体"/>
        <charset val="134"/>
      </rPr>
      <t>重性精神病急性发作期患者指出现急性、冲动、自杀、伤人、毁物及有外走、妄想、幻觉和木僵等症状的患者。</t>
    </r>
  </si>
  <si>
    <t>012404000010000</t>
  </si>
  <si>
    <t>耳内镜检查费</t>
  </si>
  <si>
    <t>通过耳内镜检查耳道、鼓膜及鼓室内形态、组织结构等。</t>
  </si>
  <si>
    <t>所定价格涵盖消毒、置镜、观察、记录、出具报告、处理用物等步骤所需的人力资源和基本物质资源消耗。</t>
  </si>
  <si>
    <t>耳鼻喉科</t>
  </si>
  <si>
    <t>012404000020000</t>
  </si>
  <si>
    <t>电耳镜检查费</t>
  </si>
  <si>
    <t>通过电耳镜检查耳道、鼓膜形态、组织结构等。</t>
  </si>
  <si>
    <r>
      <rPr>
        <sz val="12"/>
        <rFont val="宋体"/>
        <charset val="134"/>
      </rPr>
      <t>本项目中的</t>
    </r>
    <r>
      <rPr>
        <sz val="12"/>
        <rFont val="Times New Roman"/>
        <charset val="0"/>
      </rPr>
      <t>“</t>
    </r>
    <r>
      <rPr>
        <sz val="12"/>
        <rFont val="宋体"/>
        <charset val="134"/>
      </rPr>
      <t>加压检查</t>
    </r>
    <r>
      <rPr>
        <sz val="12"/>
        <rFont val="Times New Roman"/>
        <charset val="0"/>
      </rPr>
      <t>”</t>
    </r>
    <r>
      <rPr>
        <sz val="12"/>
        <rFont val="宋体"/>
        <charset val="134"/>
      </rPr>
      <t>指：用电耳镜镜下加压进行</t>
    </r>
    <r>
      <rPr>
        <sz val="12"/>
        <rFont val="Times New Roman"/>
        <charset val="0"/>
      </rPr>
      <t>“</t>
    </r>
    <r>
      <rPr>
        <sz val="12"/>
        <rFont val="宋体"/>
        <charset val="134"/>
      </rPr>
      <t>瘘管试验、鼓膜按摩</t>
    </r>
    <r>
      <rPr>
        <sz val="12"/>
        <rFont val="Times New Roman"/>
        <charset val="0"/>
      </rPr>
      <t>”</t>
    </r>
    <r>
      <rPr>
        <sz val="12"/>
        <rFont val="宋体"/>
        <charset val="134"/>
      </rPr>
      <t>。</t>
    </r>
  </si>
  <si>
    <t>012404000020001</t>
  </si>
  <si>
    <r>
      <rPr>
        <sz val="12"/>
        <rFont val="宋体"/>
        <charset val="134"/>
      </rPr>
      <t>电耳镜检查费</t>
    </r>
    <r>
      <rPr>
        <sz val="12"/>
        <rFont val="Times New Roman"/>
        <charset val="0"/>
      </rPr>
      <t>-</t>
    </r>
    <r>
      <rPr>
        <sz val="12"/>
        <rFont val="宋体"/>
        <charset val="134"/>
      </rPr>
      <t>加压检查（加收）</t>
    </r>
  </si>
  <si>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</si>
  <si>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</si>
  <si>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</si>
  <si>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</si>
  <si>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</si>
  <si>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</si>
  <si>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</si>
  <si>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</si>
  <si>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</si>
  <si>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</si>
  <si>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</si>
  <si>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r>
      <rPr>
        <sz val="12"/>
        <rFont val="宋体"/>
        <charset val="134"/>
      </rPr>
      <t>听阈检查费</t>
    </r>
    <r>
      <rPr>
        <sz val="12"/>
        <rFont val="Times New Roman"/>
        <charset val="0"/>
      </rPr>
      <t>-</t>
    </r>
    <r>
      <rPr>
        <sz val="12"/>
        <rFont val="宋体"/>
        <charset val="134"/>
      </rPr>
      <t>纯音短增量敏感指数试验（加收）</t>
    </r>
  </si>
  <si>
    <t>012404000040011</t>
  </si>
  <si>
    <r>
      <rPr>
        <sz val="12"/>
        <rFont val="宋体"/>
        <charset val="134"/>
      </rPr>
      <t>听阈检查费</t>
    </r>
    <r>
      <rPr>
        <sz val="12"/>
        <rFont val="Times New Roman"/>
        <charset val="0"/>
      </rPr>
      <t>-</t>
    </r>
    <r>
      <rPr>
        <sz val="12"/>
        <rFont val="宋体"/>
        <charset val="134"/>
      </rPr>
      <t>双耳交替响度平衡试验（加收）</t>
    </r>
  </si>
  <si>
    <t>012404000040021</t>
  </si>
  <si>
    <r>
      <rPr>
        <sz val="12"/>
        <rFont val="宋体"/>
        <charset val="134"/>
      </rPr>
      <t>听阈检查费</t>
    </r>
    <r>
      <rPr>
        <sz val="12"/>
        <rFont val="Times New Roman"/>
        <charset val="0"/>
      </rPr>
      <t>-</t>
    </r>
    <r>
      <rPr>
        <sz val="12"/>
        <rFont val="宋体"/>
        <charset val="134"/>
      </rPr>
      <t>响度不适与舒适阈检测（加收）</t>
    </r>
  </si>
  <si>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</si>
  <si>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</si>
  <si>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</si>
  <si>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</si>
  <si>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r>
      <rPr>
        <sz val="12"/>
        <rFont val="宋体"/>
        <charset val="134"/>
      </rPr>
      <t>单侧</t>
    </r>
    <r>
      <rPr>
        <sz val="12"/>
        <rFont val="Times New Roman"/>
        <charset val="0"/>
      </rPr>
      <t>·</t>
    </r>
    <r>
      <rPr>
        <sz val="12"/>
        <rFont val="宋体"/>
        <charset val="134"/>
      </rPr>
      <t>项</t>
    </r>
  </si>
  <si>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</si>
  <si>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</si>
  <si>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</si>
  <si>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</si>
  <si>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</si>
  <si>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</si>
  <si>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r>
      <rPr>
        <sz val="12"/>
        <rFont val="宋体"/>
        <charset val="134"/>
      </rPr>
      <t>声导抗测听检查费</t>
    </r>
    <r>
      <rPr>
        <sz val="12"/>
        <rFont val="Times New Roman"/>
        <charset val="0"/>
      </rPr>
      <t>-</t>
    </r>
    <r>
      <rPr>
        <sz val="12"/>
        <rFont val="宋体"/>
        <charset val="134"/>
      </rPr>
      <t>声导抗测听检查（宽频）（扩展）</t>
    </r>
  </si>
  <si>
    <t>012404000061100</t>
  </si>
  <si>
    <r>
      <rPr>
        <sz val="12"/>
        <rFont val="宋体"/>
        <charset val="134"/>
      </rPr>
      <t>声导抗测听检查费</t>
    </r>
    <r>
      <rPr>
        <sz val="12"/>
        <rFont val="Times New Roman"/>
        <charset val="0"/>
      </rPr>
      <t>-</t>
    </r>
    <r>
      <rPr>
        <sz val="12"/>
        <rFont val="宋体"/>
        <charset val="134"/>
      </rPr>
      <t>镫骨肌反射衰减试验检查（扩展）</t>
    </r>
  </si>
  <si>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</si>
  <si>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</si>
  <si>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</si>
  <si>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</si>
  <si>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</si>
  <si>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</si>
  <si>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</si>
  <si>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</si>
  <si>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</si>
  <si>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</si>
  <si>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</si>
  <si>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</si>
  <si>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</si>
  <si>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</si>
  <si>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</si>
  <si>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</si>
  <si>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</si>
  <si>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</si>
  <si>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</si>
  <si>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</si>
  <si>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</si>
  <si>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</si>
  <si>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</si>
  <si>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</si>
  <si>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r>
      <rPr>
        <sz val="12"/>
        <rFont val="Times New Roman"/>
        <charset val="0"/>
      </rPr>
      <t>1.</t>
    </r>
    <r>
      <rPr>
        <sz val="12"/>
        <rFont val="宋体"/>
        <charset val="134"/>
      </rPr>
      <t>本项目中的</t>
    </r>
    <r>
      <rPr>
        <sz val="12"/>
        <rFont val="Times New Roman"/>
        <charset val="0"/>
      </rPr>
      <t>“</t>
    </r>
    <r>
      <rPr>
        <sz val="12"/>
        <rFont val="宋体"/>
        <charset val="134"/>
      </rPr>
      <t>特殊</t>
    </r>
    <r>
      <rPr>
        <sz val="12"/>
        <rFont val="Times New Roman"/>
        <charset val="0"/>
      </rPr>
      <t>”</t>
    </r>
    <r>
      <rPr>
        <sz val="12"/>
        <rFont val="宋体"/>
        <charset val="134"/>
      </rPr>
      <t>指：颈性前庭诱发肌源性电位、眼性前庭诱发肌源性电位。</t>
    </r>
    <r>
      <rPr>
        <sz val="12"/>
        <rFont val="Times New Roman"/>
        <charset val="0"/>
      </rPr>
      <t xml:space="preserve">
2.</t>
    </r>
    <r>
      <rPr>
        <sz val="12"/>
        <rFont val="宋体"/>
        <charset val="134"/>
      </rPr>
      <t>不同前庭功能检查（特殊）项目可叠加收费。</t>
    </r>
  </si>
  <si>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</si>
  <si>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</si>
  <si>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</si>
  <si>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</si>
  <si>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</si>
  <si>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</si>
  <si>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</si>
  <si>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</si>
  <si>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</si>
  <si>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</si>
  <si>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</si>
  <si>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</si>
  <si>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</si>
  <si>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</si>
  <si>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</si>
  <si>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</si>
  <si>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r>
      <rPr>
        <sz val="12"/>
        <rFont val="宋体"/>
        <charset val="134"/>
      </rPr>
      <t>本项目中的</t>
    </r>
    <r>
      <rPr>
        <sz val="12"/>
        <rFont val="Times New Roman"/>
        <charset val="0"/>
      </rPr>
      <t>“</t>
    </r>
    <r>
      <rPr>
        <sz val="12"/>
        <rFont val="宋体"/>
        <charset val="134"/>
      </rPr>
      <t>无创</t>
    </r>
    <r>
      <rPr>
        <sz val="12"/>
        <rFont val="Times New Roman"/>
        <charset val="0"/>
      </rPr>
      <t>”</t>
    </r>
    <r>
      <rPr>
        <sz val="12"/>
        <rFont val="宋体"/>
        <charset val="134"/>
      </rPr>
      <t>指：无需切开皮肤或其他组织，经过自然腔道，利用无创方式进行的操作。不包括取出过程中因异物形状、位置或质地等因素导致的损伤、擦伤等情况。</t>
    </r>
  </si>
  <si>
    <t>013104010040001</t>
  </si>
  <si>
    <r>
      <rPr>
        <sz val="12"/>
        <rFont val="宋体"/>
        <charset val="134"/>
      </rPr>
      <t>无创外耳道异物取出费</t>
    </r>
    <r>
      <rPr>
        <sz val="12"/>
        <rFont val="Times New Roman"/>
        <charset val="0"/>
      </rPr>
      <t>-</t>
    </r>
    <r>
      <rPr>
        <sz val="12"/>
        <rFont val="宋体"/>
        <charset val="134"/>
      </rPr>
      <t>儿童（加收）</t>
    </r>
  </si>
  <si>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</si>
  <si>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</si>
  <si>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</si>
  <si>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</si>
  <si>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</si>
  <si>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r>
      <rPr>
        <sz val="12"/>
        <rFont val="宋体"/>
        <charset val="134"/>
      </rPr>
      <t>外耳道异物取出费</t>
    </r>
    <r>
      <rPr>
        <sz val="12"/>
        <rFont val="Times New Roman"/>
        <charset val="0"/>
      </rPr>
      <t>-</t>
    </r>
    <r>
      <rPr>
        <sz val="12"/>
        <rFont val="宋体"/>
        <charset val="134"/>
      </rPr>
      <t>儿童（加收）</t>
    </r>
  </si>
  <si>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</si>
  <si>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</si>
  <si>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</si>
  <si>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</si>
  <si>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r>
      <rPr>
        <sz val="12"/>
        <rFont val="Times New Roman"/>
        <charset val="0"/>
      </rPr>
      <t>1.</t>
    </r>
    <r>
      <rPr>
        <sz val="12"/>
        <rFont val="宋体"/>
        <charset val="134"/>
      </rPr>
      <t>本项目中的</t>
    </r>
    <r>
      <rPr>
        <sz val="12"/>
        <rFont val="Times New Roman"/>
        <charset val="0"/>
      </rPr>
      <t>“</t>
    </r>
    <r>
      <rPr>
        <sz val="12"/>
        <rFont val="宋体"/>
        <charset val="134"/>
      </rPr>
      <t>囊性病变</t>
    </r>
    <r>
      <rPr>
        <sz val="12"/>
        <rFont val="Times New Roman"/>
        <charset val="0"/>
      </rPr>
      <t>”</t>
    </r>
    <r>
      <rPr>
        <sz val="12"/>
        <rFont val="宋体"/>
        <charset val="134"/>
      </rPr>
      <t>指：囊肿、血肿及脓肿。</t>
    </r>
    <r>
      <rPr>
        <sz val="12"/>
        <rFont val="Times New Roman"/>
        <charset val="0"/>
      </rPr>
      <t xml:space="preserve">
2.</t>
    </r>
    <r>
      <rPr>
        <sz val="12"/>
        <rFont val="宋体"/>
        <charset val="134"/>
      </rPr>
      <t>同一治疗位置只可收费一次。</t>
    </r>
  </si>
  <si>
    <t>013104010050001</t>
  </si>
  <si>
    <r>
      <rPr>
        <sz val="12"/>
        <rFont val="宋体"/>
        <charset val="134"/>
      </rPr>
      <t>耳部治疗费（常规）</t>
    </r>
    <r>
      <rPr>
        <sz val="12"/>
        <rFont val="Times New Roman"/>
        <charset val="0"/>
      </rPr>
      <t>-</t>
    </r>
    <r>
      <rPr>
        <sz val="12"/>
        <rFont val="宋体"/>
        <charset val="134"/>
      </rPr>
      <t>儿童（加收）</t>
    </r>
  </si>
  <si>
    <t>013104010060000</t>
  </si>
  <si>
    <t>耳部治疗费（特殊）</t>
  </si>
  <si>
    <t>通过激光、射频、微波等各种方式对耳部进行特殊治疗。</t>
  </si>
  <si>
    <r>
      <rPr>
        <sz val="12"/>
        <rFont val="Times New Roman"/>
        <charset val="0"/>
      </rPr>
      <t>1.</t>
    </r>
    <r>
      <rPr>
        <sz val="12"/>
        <rFont val="宋体"/>
        <charset val="134"/>
      </rPr>
      <t>同一治疗位置只可收费一次。</t>
    </r>
    <r>
      <rPr>
        <sz val="12"/>
        <rFont val="Times New Roman"/>
        <charset val="0"/>
      </rPr>
      <t xml:space="preserve">
2.</t>
    </r>
    <r>
      <rPr>
        <sz val="12"/>
        <rFont val="宋体"/>
        <charset val="134"/>
      </rPr>
      <t>常规治疗转特殊治疗按照“耳部治疗费（特殊）”收取。</t>
    </r>
  </si>
  <si>
    <t>013104010060001</t>
  </si>
  <si>
    <r>
      <rPr>
        <sz val="12"/>
        <rFont val="宋体"/>
        <charset val="134"/>
      </rPr>
      <t>耳部治疗费（特殊）</t>
    </r>
    <r>
      <rPr>
        <sz val="12"/>
        <rFont val="Times New Roman"/>
        <charset val="0"/>
      </rPr>
      <t>-</t>
    </r>
    <r>
      <rPr>
        <sz val="12"/>
        <rFont val="宋体"/>
        <charset val="134"/>
      </rPr>
      <t>儿童（加收）</t>
    </r>
  </si>
  <si>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</si>
  <si>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</si>
  <si>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</si>
  <si>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</si>
  <si>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</si>
  <si>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r>
      <rPr>
        <sz val="12"/>
        <rFont val="宋体"/>
        <charset val="134"/>
      </rPr>
      <t>穿刺费（鼓膜）</t>
    </r>
    <r>
      <rPr>
        <sz val="12"/>
        <rFont val="Times New Roman"/>
        <charset val="0"/>
      </rPr>
      <t>-</t>
    </r>
    <r>
      <rPr>
        <sz val="12"/>
        <rFont val="宋体"/>
        <charset val="134"/>
      </rPr>
      <t>儿童（加收）</t>
    </r>
  </si>
  <si>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</si>
  <si>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</si>
  <si>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</si>
  <si>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</si>
  <si>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</si>
  <si>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</si>
  <si>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</si>
  <si>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</si>
  <si>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</si>
  <si>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</si>
  <si>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</si>
  <si>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</si>
  <si>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</si>
  <si>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</si>
  <si>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</si>
  <si>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</si>
  <si>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</si>
  <si>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</si>
  <si>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</si>
  <si>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</si>
  <si>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</si>
  <si>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</si>
  <si>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</si>
  <si>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r>
      <rPr>
        <sz val="12"/>
        <rFont val="宋体"/>
        <charset val="134"/>
      </rPr>
      <t>本项目中的</t>
    </r>
    <r>
      <rPr>
        <sz val="12"/>
        <rFont val="Times New Roman"/>
        <charset val="0"/>
      </rPr>
      <t>“</t>
    </r>
    <r>
      <rPr>
        <sz val="12"/>
        <rFont val="宋体"/>
        <charset val="134"/>
      </rPr>
      <t>囊性病变</t>
    </r>
    <r>
      <rPr>
        <sz val="12"/>
        <rFont val="Times New Roman"/>
        <charset val="0"/>
      </rPr>
      <t>”</t>
    </r>
    <r>
      <rPr>
        <sz val="12"/>
        <rFont val="宋体"/>
        <charset val="134"/>
      </rPr>
      <t>指：囊肿、血肿及脓肿。</t>
    </r>
  </si>
  <si>
    <t>013305000020001</t>
  </si>
  <si>
    <r>
      <rPr>
        <sz val="12"/>
        <rFont val="宋体"/>
        <charset val="134"/>
      </rPr>
      <t>耳部囊性病变切开引流费</t>
    </r>
    <r>
      <rPr>
        <sz val="12"/>
        <rFont val="Times New Roman"/>
        <charset val="0"/>
      </rPr>
      <t>-</t>
    </r>
    <r>
      <rPr>
        <sz val="12"/>
        <rFont val="宋体"/>
        <charset val="134"/>
      </rPr>
      <t>儿童（加收）</t>
    </r>
  </si>
  <si>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</si>
  <si>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</si>
  <si>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</si>
  <si>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</si>
  <si>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</si>
  <si>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r>
      <rPr>
        <sz val="12"/>
        <rFont val="宋体"/>
        <charset val="134"/>
      </rPr>
      <t>耳廓部分切除费</t>
    </r>
    <r>
      <rPr>
        <sz val="12"/>
        <rFont val="Times New Roman"/>
        <charset val="0"/>
      </rPr>
      <t>-</t>
    </r>
    <r>
      <rPr>
        <sz val="12"/>
        <rFont val="宋体"/>
        <charset val="134"/>
      </rPr>
      <t>儿童（加收）</t>
    </r>
  </si>
  <si>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</si>
  <si>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</si>
  <si>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</si>
  <si>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</si>
  <si>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</si>
  <si>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r>
      <rPr>
        <sz val="12"/>
        <rFont val="宋体"/>
        <charset val="134"/>
      </rPr>
      <t>耳廓再造费</t>
    </r>
    <r>
      <rPr>
        <sz val="12"/>
        <rFont val="Times New Roman"/>
        <charset val="0"/>
      </rPr>
      <t>-</t>
    </r>
    <r>
      <rPr>
        <sz val="12"/>
        <rFont val="宋体"/>
        <charset val="134"/>
      </rPr>
      <t>儿童（加收）</t>
    </r>
  </si>
  <si>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</si>
  <si>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</si>
  <si>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</si>
  <si>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</si>
  <si>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</si>
  <si>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r>
      <rPr>
        <sz val="12"/>
        <rFont val="宋体"/>
        <charset val="134"/>
      </rPr>
      <t>耳屏成形费</t>
    </r>
    <r>
      <rPr>
        <sz val="12"/>
        <rFont val="Times New Roman"/>
        <charset val="0"/>
      </rPr>
      <t>-</t>
    </r>
    <r>
      <rPr>
        <sz val="12"/>
        <rFont val="宋体"/>
        <charset val="134"/>
      </rPr>
      <t>儿童（加收）</t>
    </r>
  </si>
  <si>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</si>
  <si>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</si>
  <si>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</si>
  <si>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</si>
  <si>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</si>
  <si>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r>
      <rPr>
        <sz val="12"/>
        <rFont val="宋体"/>
        <charset val="134"/>
      </rPr>
      <t>断耳再植费（部分）</t>
    </r>
    <r>
      <rPr>
        <sz val="12"/>
        <rFont val="Times New Roman"/>
        <charset val="0"/>
      </rPr>
      <t>-</t>
    </r>
    <r>
      <rPr>
        <sz val="12"/>
        <rFont val="宋体"/>
        <charset val="134"/>
      </rPr>
      <t>儿童（加收）</t>
    </r>
  </si>
  <si>
    <t>013305000070000</t>
  </si>
  <si>
    <t>断耳再植费（完全）</t>
  </si>
  <si>
    <t>通过手术实现完全离断（或仅有少许皮肤相连）耳廓再植。</t>
  </si>
  <si>
    <t>013305000070001</t>
  </si>
  <si>
    <r>
      <rPr>
        <sz val="12"/>
        <rFont val="宋体"/>
        <charset val="134"/>
      </rPr>
      <t>断耳再植费（完全）</t>
    </r>
    <r>
      <rPr>
        <sz val="12"/>
        <rFont val="Times New Roman"/>
        <charset val="0"/>
      </rPr>
      <t>-</t>
    </r>
    <r>
      <rPr>
        <sz val="12"/>
        <rFont val="宋体"/>
        <charset val="134"/>
      </rPr>
      <t>儿童（加收）</t>
    </r>
  </si>
  <si>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</si>
  <si>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</si>
  <si>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</si>
  <si>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</si>
  <si>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</si>
  <si>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r>
      <rPr>
        <sz val="12"/>
        <rFont val="宋体"/>
        <charset val="134"/>
      </rPr>
      <t>耳廓畸形矫正费</t>
    </r>
    <r>
      <rPr>
        <sz val="12"/>
        <rFont val="Times New Roman"/>
        <charset val="0"/>
      </rPr>
      <t>-</t>
    </r>
    <r>
      <rPr>
        <sz val="12"/>
        <rFont val="宋体"/>
        <charset val="134"/>
      </rPr>
      <t>儿童（加收）</t>
    </r>
  </si>
  <si>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</si>
  <si>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</si>
  <si>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</si>
  <si>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</si>
  <si>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r>
      <rPr>
        <sz val="12"/>
        <rFont val="宋体"/>
        <charset val="134"/>
      </rPr>
      <t>瘘管</t>
    </r>
    <r>
      <rPr>
        <sz val="12"/>
        <rFont val="Times New Roman"/>
        <charset val="0"/>
      </rPr>
      <t>·</t>
    </r>
    <r>
      <rPr>
        <sz val="12"/>
        <rFont val="宋体"/>
        <charset val="134"/>
      </rPr>
      <t>次</t>
    </r>
  </si>
  <si>
    <t>013305000090001</t>
  </si>
  <si>
    <r>
      <rPr>
        <sz val="12"/>
        <rFont val="宋体"/>
        <charset val="134"/>
      </rPr>
      <t>耳周瘘管切除费</t>
    </r>
    <r>
      <rPr>
        <sz val="12"/>
        <rFont val="Times New Roman"/>
        <charset val="0"/>
      </rPr>
      <t>-</t>
    </r>
    <r>
      <rPr>
        <sz val="12"/>
        <rFont val="宋体"/>
        <charset val="134"/>
      </rPr>
      <t>儿童（加收）</t>
    </r>
  </si>
  <si>
    <t>013305000100000</t>
  </si>
  <si>
    <t>腮裂病变切除费</t>
  </si>
  <si>
    <t>通过手术切除腮裂瘘管、囊肿、窦道等病变。</t>
  </si>
  <si>
    <t>013305000100001</t>
  </si>
  <si>
    <r>
      <rPr>
        <sz val="12"/>
        <rFont val="宋体"/>
        <charset val="134"/>
      </rPr>
      <t>腮裂病变切除费</t>
    </r>
    <r>
      <rPr>
        <sz val="12"/>
        <rFont val="Times New Roman"/>
        <charset val="0"/>
      </rPr>
      <t>-</t>
    </r>
    <r>
      <rPr>
        <sz val="12"/>
        <rFont val="宋体"/>
        <charset val="134"/>
      </rPr>
      <t>儿童（加收）</t>
    </r>
  </si>
  <si>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</si>
  <si>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</si>
  <si>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</si>
  <si>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</si>
  <si>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</si>
  <si>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r>
      <rPr>
        <sz val="12"/>
        <rFont val="宋体"/>
        <charset val="134"/>
      </rPr>
      <t>耳颞部病变切除费</t>
    </r>
    <r>
      <rPr>
        <sz val="12"/>
        <rFont val="Times New Roman"/>
        <charset val="0"/>
      </rPr>
      <t>-</t>
    </r>
    <r>
      <rPr>
        <sz val="12"/>
        <rFont val="宋体"/>
        <charset val="134"/>
      </rPr>
      <t>儿童（加收）</t>
    </r>
  </si>
  <si>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</si>
  <si>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</si>
  <si>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</si>
  <si>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</si>
  <si>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</si>
  <si>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r>
      <rPr>
        <sz val="12"/>
        <rFont val="宋体"/>
        <charset val="134"/>
      </rPr>
      <t>外耳道成形费</t>
    </r>
    <r>
      <rPr>
        <sz val="12"/>
        <rFont val="Times New Roman"/>
        <charset val="0"/>
      </rPr>
      <t>-</t>
    </r>
    <r>
      <rPr>
        <sz val="12"/>
        <rFont val="宋体"/>
        <charset val="134"/>
      </rPr>
      <t>儿童（加收）</t>
    </r>
  </si>
  <si>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</si>
  <si>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</si>
  <si>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</si>
  <si>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</si>
  <si>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</si>
  <si>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r>
      <rPr>
        <sz val="12"/>
        <rFont val="宋体"/>
        <charset val="134"/>
      </rPr>
      <t>耳甲腔成形费</t>
    </r>
    <r>
      <rPr>
        <sz val="12"/>
        <rFont val="Times New Roman"/>
        <charset val="0"/>
      </rPr>
      <t>-</t>
    </r>
    <r>
      <rPr>
        <sz val="12"/>
        <rFont val="宋体"/>
        <charset val="134"/>
      </rPr>
      <t>儿童（加收）</t>
    </r>
  </si>
  <si>
    <t>013305000140000</t>
  </si>
  <si>
    <t>鼓膜切开费</t>
  </si>
  <si>
    <t>通过手术切开鼓膜。</t>
  </si>
  <si>
    <t>所定价格涵盖手术计划、术区准备、消毒、切开、清理、处理用物等步骤所需的人力资源和基本物质资源消耗。</t>
  </si>
  <si>
    <t>013305000140001</t>
  </si>
  <si>
    <r>
      <rPr>
        <sz val="12"/>
        <rFont val="宋体"/>
        <charset val="134"/>
      </rPr>
      <t>鼓膜切开费</t>
    </r>
    <r>
      <rPr>
        <sz val="12"/>
        <rFont val="Times New Roman"/>
        <charset val="0"/>
      </rPr>
      <t>-</t>
    </r>
    <r>
      <rPr>
        <sz val="12"/>
        <rFont val="宋体"/>
        <charset val="134"/>
      </rPr>
      <t>儿童（加收）</t>
    </r>
  </si>
  <si>
    <t>013305000150000</t>
  </si>
  <si>
    <t>鼓膜修补费</t>
  </si>
  <si>
    <t>通过手术修补鼓膜。</t>
  </si>
  <si>
    <t>所定价格涵盖手术计划、术区准备、消毒、切开、修补、缝合、处理用物等步骤所需的人力资源和基本物质资源消耗。</t>
  </si>
  <si>
    <t>013305000150001</t>
  </si>
  <si>
    <r>
      <rPr>
        <sz val="12"/>
        <rFont val="宋体"/>
        <charset val="134"/>
      </rPr>
      <t>鼓膜修补费</t>
    </r>
    <r>
      <rPr>
        <sz val="12"/>
        <rFont val="Times New Roman"/>
        <charset val="0"/>
      </rPr>
      <t>-</t>
    </r>
    <r>
      <rPr>
        <sz val="12"/>
        <rFont val="宋体"/>
        <charset val="134"/>
      </rPr>
      <t>儿童（加收）</t>
    </r>
  </si>
  <si>
    <t>013305000160000</t>
  </si>
  <si>
    <t>鼓膜通气管置入费</t>
  </si>
  <si>
    <t>通过手术切开鼓膜，置入通气管。</t>
  </si>
  <si>
    <t>所定价格涵盖手术计划、术区准备、消毒、切开、清理、置管、处理用物等步骤所需的人力资源和基本物质资源消耗。</t>
  </si>
  <si>
    <r>
      <rPr>
        <sz val="12"/>
        <rFont val="宋体"/>
        <charset val="134"/>
      </rPr>
      <t>不能与</t>
    </r>
    <r>
      <rPr>
        <sz val="12"/>
        <rFont val="Times New Roman"/>
        <charset val="0"/>
      </rPr>
      <t>“</t>
    </r>
    <r>
      <rPr>
        <sz val="12"/>
        <rFont val="宋体"/>
        <charset val="134"/>
      </rPr>
      <t>鼓膜切开费</t>
    </r>
    <r>
      <rPr>
        <sz val="12"/>
        <rFont val="Times New Roman"/>
        <charset val="0"/>
      </rPr>
      <t>”</t>
    </r>
    <r>
      <rPr>
        <sz val="12"/>
        <rFont val="宋体"/>
        <charset val="134"/>
      </rPr>
      <t>同时收取。</t>
    </r>
  </si>
  <si>
    <t>013305000160001</t>
  </si>
  <si>
    <r>
      <rPr>
        <sz val="12"/>
        <rFont val="宋体"/>
        <charset val="134"/>
      </rPr>
      <t>鼓膜通气管置入费</t>
    </r>
    <r>
      <rPr>
        <sz val="12"/>
        <rFont val="Times New Roman"/>
        <charset val="0"/>
      </rPr>
      <t>-</t>
    </r>
    <r>
      <rPr>
        <sz val="12"/>
        <rFont val="宋体"/>
        <charset val="134"/>
      </rPr>
      <t>儿童（加收）</t>
    </r>
  </si>
  <si>
    <t>013305000170000</t>
  </si>
  <si>
    <t>鼓膜通气管取出费</t>
  </si>
  <si>
    <t>通过手术取出鼓膜通气管。</t>
  </si>
  <si>
    <t>所定价格涵盖手术计划、术区准备、消毒、清理、取出、处理用物等步骤所需的人力资源和基本物质资源消耗。</t>
  </si>
  <si>
    <r>
      <rPr>
        <sz val="12"/>
        <rFont val="宋体"/>
        <charset val="134"/>
      </rPr>
      <t>非手术方式取出按</t>
    </r>
    <r>
      <rPr>
        <sz val="12"/>
        <rFont val="Times New Roman"/>
        <charset val="0"/>
      </rPr>
      <t>“</t>
    </r>
    <r>
      <rPr>
        <sz val="12"/>
        <rFont val="宋体"/>
        <charset val="134"/>
      </rPr>
      <t>无创外耳道异物取出费</t>
    </r>
    <r>
      <rPr>
        <sz val="12"/>
        <rFont val="Times New Roman"/>
        <charset val="0"/>
      </rPr>
      <t>”</t>
    </r>
    <r>
      <rPr>
        <sz val="12"/>
        <rFont val="宋体"/>
        <charset val="134"/>
      </rPr>
      <t>收取。</t>
    </r>
  </si>
  <si>
    <t>013305000170001</t>
  </si>
  <si>
    <r>
      <rPr>
        <sz val="12"/>
        <rFont val="宋体"/>
        <charset val="134"/>
      </rPr>
      <t>鼓膜通气管取出费</t>
    </r>
    <r>
      <rPr>
        <sz val="12"/>
        <rFont val="Times New Roman"/>
        <charset val="0"/>
      </rPr>
      <t>-</t>
    </r>
    <r>
      <rPr>
        <sz val="12"/>
        <rFont val="宋体"/>
        <charset val="134"/>
      </rPr>
      <t>儿童（加收）</t>
    </r>
  </si>
  <si>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</si>
  <si>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</si>
  <si>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</si>
  <si>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</si>
  <si>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</si>
  <si>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</si>
  <si>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r>
      <rPr>
        <sz val="12"/>
        <rFont val="宋体"/>
        <charset val="134"/>
      </rPr>
      <t>鼓室探查费</t>
    </r>
    <r>
      <rPr>
        <sz val="12"/>
        <rFont val="Times New Roman"/>
        <charset val="0"/>
      </rPr>
      <t>-</t>
    </r>
    <r>
      <rPr>
        <sz val="12"/>
        <rFont val="宋体"/>
        <charset val="134"/>
      </rPr>
      <t>儿童（加收）</t>
    </r>
  </si>
  <si>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</si>
  <si>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</si>
  <si>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</si>
  <si>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</si>
  <si>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</si>
  <si>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r>
      <rPr>
        <sz val="12"/>
        <rFont val="宋体"/>
        <charset val="134"/>
      </rPr>
      <t>中耳病变切除费</t>
    </r>
    <r>
      <rPr>
        <sz val="12"/>
        <rFont val="Times New Roman"/>
        <charset val="0"/>
      </rPr>
      <t>-</t>
    </r>
    <r>
      <rPr>
        <sz val="12"/>
        <rFont val="宋体"/>
        <charset val="134"/>
      </rPr>
      <t>儿童（加收）</t>
    </r>
  </si>
  <si>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</si>
  <si>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</si>
  <si>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</si>
  <si>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</si>
  <si>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</si>
  <si>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r>
      <rPr>
        <sz val="12"/>
        <rFont val="宋体"/>
        <charset val="134"/>
      </rPr>
      <t>中耳肌切断费</t>
    </r>
    <r>
      <rPr>
        <sz val="12"/>
        <rFont val="Times New Roman"/>
        <charset val="0"/>
      </rPr>
      <t>-</t>
    </r>
    <r>
      <rPr>
        <sz val="12"/>
        <rFont val="宋体"/>
        <charset val="134"/>
      </rPr>
      <t>儿童（加收）</t>
    </r>
  </si>
  <si>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</si>
  <si>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</si>
  <si>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</si>
  <si>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</si>
  <si>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</si>
  <si>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r>
      <rPr>
        <sz val="12"/>
        <rFont val="宋体"/>
        <charset val="134"/>
      </rPr>
      <t>鼓室神经丛切除费</t>
    </r>
    <r>
      <rPr>
        <sz val="12"/>
        <rFont val="Times New Roman"/>
        <charset val="0"/>
      </rPr>
      <t>-</t>
    </r>
    <r>
      <rPr>
        <sz val="12"/>
        <rFont val="宋体"/>
        <charset val="134"/>
      </rPr>
      <t>儿童（加收）</t>
    </r>
  </si>
  <si>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</si>
  <si>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</si>
  <si>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</si>
  <si>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</si>
  <si>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</si>
  <si>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r>
      <rPr>
        <sz val="12"/>
        <rFont val="宋体"/>
        <charset val="134"/>
      </rPr>
      <t>听骨链重建费</t>
    </r>
    <r>
      <rPr>
        <sz val="12"/>
        <rFont val="Times New Roman"/>
        <charset val="0"/>
      </rPr>
      <t>-</t>
    </r>
    <r>
      <rPr>
        <sz val="12"/>
        <rFont val="宋体"/>
        <charset val="134"/>
      </rPr>
      <t>儿童（加收）</t>
    </r>
  </si>
  <si>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</si>
  <si>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</si>
  <si>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</si>
  <si>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</si>
  <si>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</si>
  <si>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r>
      <rPr>
        <sz val="12"/>
        <rFont val="宋体"/>
        <charset val="134"/>
      </rPr>
      <t>镫骨部分切除费</t>
    </r>
    <r>
      <rPr>
        <sz val="12"/>
        <rFont val="Times New Roman"/>
        <charset val="0"/>
      </rPr>
      <t>-</t>
    </r>
    <r>
      <rPr>
        <sz val="12"/>
        <rFont val="宋体"/>
        <charset val="134"/>
      </rPr>
      <t>儿童（加收）</t>
    </r>
  </si>
  <si>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</si>
  <si>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</si>
  <si>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</si>
  <si>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</si>
  <si>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</si>
  <si>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r>
      <rPr>
        <sz val="12"/>
        <rFont val="宋体"/>
        <charset val="134"/>
      </rPr>
      <t>听骨链松解费</t>
    </r>
    <r>
      <rPr>
        <sz val="12"/>
        <rFont val="Times New Roman"/>
        <charset val="0"/>
      </rPr>
      <t>-</t>
    </r>
    <r>
      <rPr>
        <sz val="12"/>
        <rFont val="宋体"/>
        <charset val="134"/>
      </rPr>
      <t>儿童（加收）</t>
    </r>
  </si>
  <si>
    <t>013305000240011</t>
  </si>
  <si>
    <r>
      <rPr>
        <sz val="12"/>
        <rFont val="宋体"/>
        <charset val="134"/>
      </rPr>
      <t>听骨链松解费</t>
    </r>
    <r>
      <rPr>
        <sz val="12"/>
        <rFont val="Times New Roman"/>
        <charset val="0"/>
      </rPr>
      <t>-</t>
    </r>
    <r>
      <rPr>
        <sz val="12"/>
        <rFont val="宋体"/>
        <charset val="134"/>
      </rPr>
      <t>听骨取出（加收）</t>
    </r>
  </si>
  <si>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</si>
  <si>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</si>
  <si>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</si>
  <si>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</si>
  <si>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</si>
  <si>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r>
      <rPr>
        <sz val="12"/>
        <rFont val="宋体"/>
        <charset val="134"/>
      </rPr>
      <t>咽鼓管扩张费</t>
    </r>
    <r>
      <rPr>
        <sz val="12"/>
        <rFont val="Times New Roman"/>
        <charset val="0"/>
      </rPr>
      <t>-</t>
    </r>
    <r>
      <rPr>
        <sz val="12"/>
        <rFont val="宋体"/>
        <charset val="134"/>
      </rPr>
      <t>儿童（加收）</t>
    </r>
  </si>
  <si>
    <t>013305000260000</t>
  </si>
  <si>
    <t>咽鼓管再造费</t>
  </si>
  <si>
    <t>通过手术再造咽鼓管。</t>
  </si>
  <si>
    <t>所定价格涵盖手术计划、术区准备、消毒、切开、探查、再造、复位、处理用物等步骤所需的人力资源和基本物质资源消耗。</t>
  </si>
  <si>
    <t>013305000260001</t>
  </si>
  <si>
    <r>
      <rPr>
        <sz val="12"/>
        <rFont val="宋体"/>
        <charset val="134"/>
      </rPr>
      <t>咽鼓管再造费</t>
    </r>
    <r>
      <rPr>
        <sz val="12"/>
        <rFont val="Times New Roman"/>
        <charset val="0"/>
      </rPr>
      <t>-</t>
    </r>
    <r>
      <rPr>
        <sz val="12"/>
        <rFont val="宋体"/>
        <charset val="134"/>
      </rPr>
      <t>儿童（加收）</t>
    </r>
  </si>
  <si>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</si>
  <si>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</si>
  <si>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</si>
  <si>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</si>
  <si>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</si>
  <si>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r>
      <rPr>
        <sz val="12"/>
        <rFont val="宋体"/>
        <charset val="134"/>
      </rPr>
      <t>咽鼓管黏膜下筋膜脂肪注射费</t>
    </r>
    <r>
      <rPr>
        <sz val="12"/>
        <rFont val="Times New Roman"/>
        <charset val="0"/>
      </rPr>
      <t>-</t>
    </r>
    <r>
      <rPr>
        <sz val="12"/>
        <rFont val="宋体"/>
        <charset val="134"/>
      </rPr>
      <t>儿童（加收）</t>
    </r>
  </si>
  <si>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</si>
  <si>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</si>
  <si>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</si>
  <si>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</si>
  <si>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</si>
  <si>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r>
      <rPr>
        <sz val="12"/>
        <rFont val="宋体"/>
        <charset val="134"/>
      </rPr>
      <t>上鼓室鼓窦开放费</t>
    </r>
    <r>
      <rPr>
        <sz val="12"/>
        <rFont val="Times New Roman"/>
        <charset val="0"/>
      </rPr>
      <t>-</t>
    </r>
    <r>
      <rPr>
        <sz val="12"/>
        <rFont val="宋体"/>
        <charset val="134"/>
      </rPr>
      <t>儿童（加收）</t>
    </r>
  </si>
  <si>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</si>
  <si>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</si>
  <si>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</si>
  <si>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</si>
  <si>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</si>
  <si>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r>
      <rPr>
        <sz val="12"/>
        <rFont val="宋体"/>
        <charset val="134"/>
      </rPr>
      <t>乳突切开费</t>
    </r>
    <r>
      <rPr>
        <sz val="12"/>
        <rFont val="Times New Roman"/>
        <charset val="0"/>
      </rPr>
      <t>-</t>
    </r>
    <r>
      <rPr>
        <sz val="12"/>
        <rFont val="宋体"/>
        <charset val="134"/>
      </rPr>
      <t>儿童（加收）</t>
    </r>
  </si>
  <si>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</si>
  <si>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</si>
  <si>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</si>
  <si>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</si>
  <si>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</si>
  <si>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r>
      <rPr>
        <sz val="12"/>
        <rFont val="宋体"/>
        <charset val="134"/>
      </rPr>
      <t>乳突切除费</t>
    </r>
    <r>
      <rPr>
        <sz val="12"/>
        <rFont val="Times New Roman"/>
        <charset val="0"/>
      </rPr>
      <t>-</t>
    </r>
    <r>
      <rPr>
        <sz val="12"/>
        <rFont val="宋体"/>
        <charset val="134"/>
      </rPr>
      <t>儿童（加收）</t>
    </r>
  </si>
  <si>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</si>
  <si>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</si>
  <si>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</si>
  <si>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</si>
  <si>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</si>
  <si>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</si>
  <si>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</si>
  <si>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</si>
  <si>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</si>
  <si>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</si>
  <si>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</si>
  <si>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</si>
  <si>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</si>
  <si>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</si>
  <si>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</si>
  <si>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</si>
  <si>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</si>
  <si>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</si>
  <si>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</si>
  <si>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</si>
  <si>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</si>
  <si>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</si>
  <si>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</si>
  <si>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</si>
  <si>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</si>
  <si>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</si>
  <si>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</si>
  <si>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</si>
  <si>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</si>
  <si>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</si>
  <si>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</si>
  <si>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r>
      <rPr>
        <sz val="12"/>
        <rFont val="宋体"/>
        <charset val="134"/>
      </rPr>
      <t>不能与</t>
    </r>
    <r>
      <rPr>
        <sz val="12"/>
        <rFont val="Times New Roman"/>
        <charset val="0"/>
      </rPr>
      <t>“</t>
    </r>
    <r>
      <rPr>
        <sz val="12"/>
        <rFont val="宋体"/>
        <charset val="134"/>
      </rPr>
      <t>鼻腔清理费</t>
    </r>
    <r>
      <rPr>
        <sz val="12"/>
        <rFont val="Times New Roman"/>
        <charset val="0"/>
      </rPr>
      <t>”</t>
    </r>
    <r>
      <rPr>
        <sz val="12"/>
        <rFont val="宋体"/>
        <charset val="134"/>
      </rPr>
      <t>同时收取。</t>
    </r>
  </si>
  <si>
    <t>013104020010001</t>
  </si>
  <si>
    <r>
      <rPr>
        <sz val="12"/>
        <rFont val="宋体"/>
        <charset val="134"/>
      </rPr>
      <t>鼻腔异物取出费</t>
    </r>
    <r>
      <rPr>
        <sz val="12"/>
        <rFont val="Times New Roman"/>
        <charset val="0"/>
      </rPr>
      <t>-</t>
    </r>
    <r>
      <rPr>
        <sz val="12"/>
        <rFont val="宋体"/>
        <charset val="134"/>
      </rPr>
      <t>儿童（加收）</t>
    </r>
  </si>
  <si>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</si>
  <si>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</si>
  <si>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</si>
  <si>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</si>
  <si>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</si>
  <si>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r>
      <rPr>
        <sz val="12"/>
        <rFont val="宋体"/>
        <charset val="134"/>
      </rPr>
      <t>鼻窦异物取出费</t>
    </r>
    <r>
      <rPr>
        <sz val="12"/>
        <rFont val="Times New Roman"/>
        <charset val="0"/>
      </rPr>
      <t>-</t>
    </r>
    <r>
      <rPr>
        <sz val="12"/>
        <rFont val="宋体"/>
        <charset val="134"/>
      </rPr>
      <t>儿童（加收）</t>
    </r>
  </si>
  <si>
    <t>013104020020000</t>
  </si>
  <si>
    <t>鼻腔清理费</t>
  </si>
  <si>
    <t>通过各种方式对鼻腔、鼻窦感染进行清理。</t>
  </si>
  <si>
    <t>所定价格涵盖收缩黏膜、检查、清理、冲洗、处理用物等步骤所需的人力资源和基本物质资源消耗。（不含内镜检查）</t>
  </si>
  <si>
    <r>
      <rPr>
        <sz val="12"/>
        <rFont val="宋体"/>
        <charset val="134"/>
      </rPr>
      <t>不能与</t>
    </r>
    <r>
      <rPr>
        <sz val="12"/>
        <rFont val="Times New Roman"/>
        <charset val="0"/>
      </rPr>
      <t>“</t>
    </r>
    <r>
      <rPr>
        <sz val="12"/>
        <rFont val="宋体"/>
        <charset val="134"/>
      </rPr>
      <t>鼻负压置换治疗费</t>
    </r>
    <r>
      <rPr>
        <sz val="12"/>
        <rFont val="Times New Roman"/>
        <charset val="0"/>
      </rPr>
      <t>”</t>
    </r>
    <r>
      <rPr>
        <sz val="12"/>
        <rFont val="宋体"/>
        <charset val="134"/>
      </rPr>
      <t>同时收取。</t>
    </r>
  </si>
  <si>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</si>
  <si>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</si>
  <si>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</si>
  <si>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</si>
  <si>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</si>
  <si>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</si>
  <si>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</si>
  <si>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</si>
  <si>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r>
      <rPr>
        <sz val="12"/>
        <rFont val="宋体"/>
        <charset val="134"/>
      </rPr>
      <t>穿刺费（上颌窦）</t>
    </r>
    <r>
      <rPr>
        <sz val="12"/>
        <rFont val="Times New Roman"/>
        <charset val="0"/>
      </rPr>
      <t>-</t>
    </r>
    <r>
      <rPr>
        <sz val="12"/>
        <rFont val="宋体"/>
        <charset val="134"/>
      </rPr>
      <t>儿童（加收）</t>
    </r>
  </si>
  <si>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</si>
  <si>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</si>
  <si>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</si>
  <si>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</si>
  <si>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r>
      <rPr>
        <sz val="12"/>
        <rFont val="Times New Roman"/>
        <charset val="0"/>
      </rPr>
      <t>1.</t>
    </r>
    <r>
      <rPr>
        <sz val="12"/>
        <rFont val="宋体"/>
        <charset val="134"/>
      </rPr>
      <t>本项目中的</t>
    </r>
    <r>
      <rPr>
        <sz val="12"/>
        <rFont val="Times New Roman"/>
        <charset val="0"/>
      </rPr>
      <t>“</t>
    </r>
    <r>
      <rPr>
        <sz val="12"/>
        <rFont val="宋体"/>
        <charset val="134"/>
      </rPr>
      <t>囊性病变</t>
    </r>
    <r>
      <rPr>
        <sz val="12"/>
        <rFont val="Times New Roman"/>
        <charset val="0"/>
      </rPr>
      <t>”</t>
    </r>
    <r>
      <rPr>
        <sz val="12"/>
        <rFont val="宋体"/>
        <charset val="134"/>
      </rPr>
      <t>指：囊肿、血肿及脓肿。</t>
    </r>
    <r>
      <rPr>
        <sz val="12"/>
        <rFont val="Times New Roman"/>
        <charset val="0"/>
      </rPr>
      <t xml:space="preserve">
2.</t>
    </r>
    <r>
      <rPr>
        <sz val="12"/>
        <rFont val="宋体"/>
        <charset val="134"/>
      </rPr>
      <t>同一治疗位置只可收费一次。</t>
    </r>
    <r>
      <rPr>
        <sz val="12"/>
        <rFont val="Times New Roman"/>
        <charset val="0"/>
      </rPr>
      <t xml:space="preserve">
3.</t>
    </r>
    <r>
      <rPr>
        <sz val="12"/>
        <rFont val="宋体"/>
        <charset val="134"/>
      </rPr>
      <t>鼻部冷冻治疗按常规收费。</t>
    </r>
  </si>
  <si>
    <t>013104020050001</t>
  </si>
  <si>
    <r>
      <rPr>
        <sz val="12"/>
        <rFont val="宋体"/>
        <charset val="134"/>
      </rPr>
      <t>鼻部治疗费（常规）</t>
    </r>
    <r>
      <rPr>
        <sz val="12"/>
        <rFont val="Times New Roman"/>
        <charset val="0"/>
      </rPr>
      <t>-</t>
    </r>
    <r>
      <rPr>
        <sz val="12"/>
        <rFont val="宋体"/>
        <charset val="134"/>
      </rPr>
      <t>儿童（加收）</t>
    </r>
  </si>
  <si>
    <t>013104020050011</t>
  </si>
  <si>
    <r>
      <rPr>
        <sz val="12"/>
        <rFont val="宋体"/>
        <charset val="134"/>
      </rPr>
      <t>鼻部治疗费（常规）</t>
    </r>
    <r>
      <rPr>
        <sz val="12"/>
        <rFont val="Times New Roman"/>
        <charset val="0"/>
      </rPr>
      <t>-</t>
    </r>
    <r>
      <rPr>
        <sz val="12"/>
        <rFont val="宋体"/>
        <charset val="134"/>
      </rPr>
      <t>后鼻腔止血（加收）</t>
    </r>
  </si>
  <si>
    <t>013104020060000</t>
  </si>
  <si>
    <t>鼻部治疗费（特殊）</t>
  </si>
  <si>
    <t>通过等离子、激光、射频、微波等各种方式对鼻部部进行特殊治疗。</t>
  </si>
  <si>
    <r>
      <rPr>
        <sz val="12"/>
        <rFont val="Times New Roman"/>
        <charset val="0"/>
      </rPr>
      <t>1.</t>
    </r>
    <r>
      <rPr>
        <sz val="12"/>
        <rFont val="宋体"/>
        <charset val="134"/>
      </rPr>
      <t>同一治疗位置只可收费一次。</t>
    </r>
    <r>
      <rPr>
        <sz val="12"/>
        <rFont val="Times New Roman"/>
        <charset val="0"/>
      </rPr>
      <t xml:space="preserve">
2.</t>
    </r>
    <r>
      <rPr>
        <sz val="12"/>
        <rFont val="宋体"/>
        <charset val="134"/>
      </rPr>
      <t>常规治疗转特殊治疗按照</t>
    </r>
    <r>
      <rPr>
        <sz val="12"/>
        <rFont val="Times New Roman"/>
        <charset val="0"/>
      </rPr>
      <t>“</t>
    </r>
    <r>
      <rPr>
        <sz val="12"/>
        <rFont val="宋体"/>
        <charset val="134"/>
      </rPr>
      <t>鼻部治疗费（特殊</t>
    </r>
    <r>
      <rPr>
        <sz val="12"/>
        <rFont val="方正书宋_GBK"/>
        <charset val="134"/>
      </rPr>
      <t>）</t>
    </r>
    <r>
      <rPr>
        <sz val="12"/>
        <rFont val="Times New Roman"/>
        <charset val="0"/>
      </rPr>
      <t>”</t>
    </r>
    <r>
      <rPr>
        <sz val="12"/>
        <rFont val="宋体"/>
        <charset val="134"/>
      </rPr>
      <t>收取。</t>
    </r>
  </si>
  <si>
    <t>013104020060001</t>
  </si>
  <si>
    <r>
      <rPr>
        <sz val="12"/>
        <rFont val="宋体"/>
        <charset val="134"/>
      </rPr>
      <t>鼻部治疗费（特殊）</t>
    </r>
    <r>
      <rPr>
        <sz val="12"/>
        <rFont val="Times New Roman"/>
        <charset val="0"/>
      </rPr>
      <t>-</t>
    </r>
    <r>
      <rPr>
        <sz val="12"/>
        <rFont val="宋体"/>
        <charset val="134"/>
      </rPr>
      <t>儿童（加收）</t>
    </r>
  </si>
  <si>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</si>
  <si>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</si>
  <si>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</si>
  <si>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</si>
  <si>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</si>
  <si>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</si>
  <si>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r>
      <rPr>
        <sz val="12"/>
        <rFont val="宋体"/>
        <charset val="134"/>
      </rPr>
      <t>鼻部神经切断费</t>
    </r>
    <r>
      <rPr>
        <sz val="12"/>
        <rFont val="Times New Roman"/>
        <charset val="0"/>
      </rPr>
      <t>-</t>
    </r>
    <r>
      <rPr>
        <sz val="12"/>
        <rFont val="宋体"/>
        <charset val="134"/>
      </rPr>
      <t>儿童（加收）</t>
    </r>
  </si>
  <si>
    <t>013306010030000</t>
  </si>
  <si>
    <t>鼻部分缺损修复费</t>
  </si>
  <si>
    <t>通过手术修复鼻部缺损。</t>
  </si>
  <si>
    <t>所定价格涵盖手术计划、术区准备、消毒、清创、修复、冲洗、必要时放置引流物、缝合、处理用物等步骤所需的人力资源和基本物质资源消耗。</t>
  </si>
  <si>
    <r>
      <rPr>
        <sz val="12"/>
        <rFont val="Times New Roman"/>
        <charset val="0"/>
      </rPr>
      <t>“</t>
    </r>
    <r>
      <rPr>
        <sz val="12"/>
        <rFont val="宋体"/>
        <charset val="134"/>
      </rPr>
      <t>鼻部分缺损修复费</t>
    </r>
    <r>
      <rPr>
        <sz val="12"/>
        <rFont val="Times New Roman"/>
        <charset val="0"/>
      </rPr>
      <t>”</t>
    </r>
    <r>
      <rPr>
        <sz val="12"/>
        <rFont val="宋体"/>
        <charset val="134"/>
      </rPr>
      <t>不包括</t>
    </r>
    <r>
      <rPr>
        <sz val="12"/>
        <rFont val="Times New Roman"/>
        <charset val="0"/>
      </rPr>
      <t>“</t>
    </r>
    <r>
      <rPr>
        <sz val="12"/>
        <rFont val="宋体"/>
        <charset val="134"/>
      </rPr>
      <t>鼻矫形费</t>
    </r>
    <r>
      <rPr>
        <sz val="12"/>
        <rFont val="Times New Roman"/>
        <charset val="0"/>
      </rPr>
      <t>”</t>
    </r>
    <r>
      <rPr>
        <sz val="12"/>
        <rFont val="宋体"/>
        <charset val="134"/>
      </rPr>
      <t>。</t>
    </r>
  </si>
  <si>
    <t>013306010030001</t>
  </si>
  <si>
    <r>
      <rPr>
        <sz val="12"/>
        <rFont val="宋体"/>
        <charset val="134"/>
      </rPr>
      <t>鼻部分缺损修复费</t>
    </r>
    <r>
      <rPr>
        <sz val="12"/>
        <rFont val="Times New Roman"/>
        <charset val="0"/>
      </rPr>
      <t>-</t>
    </r>
    <r>
      <rPr>
        <sz val="12"/>
        <rFont val="宋体"/>
        <charset val="134"/>
      </rPr>
      <t>儿童（加收）</t>
    </r>
  </si>
  <si>
    <t>013306010040000</t>
  </si>
  <si>
    <t>断鼻再接费</t>
  </si>
  <si>
    <t>通过手术连接断鼻。</t>
  </si>
  <si>
    <t>所定价格涵盖手术计划、术区准备、消毒、切开、断鼻再接、冲洗、止血、缝合、处理用物等步骤所需的人力资源和基本物质资源消耗。</t>
  </si>
  <si>
    <t>013306010040001</t>
  </si>
  <si>
    <r>
      <rPr>
        <sz val="12"/>
        <rFont val="宋体"/>
        <charset val="134"/>
      </rPr>
      <t>断鼻再接费</t>
    </r>
    <r>
      <rPr>
        <sz val="12"/>
        <rFont val="Times New Roman"/>
        <charset val="0"/>
      </rPr>
      <t>-</t>
    </r>
    <r>
      <rPr>
        <sz val="12"/>
        <rFont val="宋体"/>
        <charset val="134"/>
      </rPr>
      <t>儿童（加收）</t>
    </r>
  </si>
  <si>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</si>
  <si>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</si>
  <si>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</si>
  <si>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</si>
  <si>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</si>
  <si>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r>
      <rPr>
        <sz val="12"/>
        <rFont val="宋体"/>
        <charset val="134"/>
      </rPr>
      <t>前鼻孔成形费</t>
    </r>
    <r>
      <rPr>
        <sz val="12"/>
        <rFont val="Times New Roman"/>
        <charset val="0"/>
      </rPr>
      <t>-</t>
    </r>
    <r>
      <rPr>
        <sz val="12"/>
        <rFont val="宋体"/>
        <charset val="134"/>
      </rPr>
      <t>儿童（加收）</t>
    </r>
  </si>
  <si>
    <t>013306010050011</t>
  </si>
  <si>
    <r>
      <rPr>
        <sz val="12"/>
        <rFont val="宋体"/>
        <charset val="134"/>
      </rPr>
      <t>前鼻孔成形费</t>
    </r>
    <r>
      <rPr>
        <sz val="12"/>
        <rFont val="Times New Roman"/>
        <charset val="0"/>
      </rPr>
      <t>-</t>
    </r>
    <r>
      <rPr>
        <sz val="12"/>
        <rFont val="宋体"/>
        <charset val="134"/>
      </rPr>
      <t>鼻孔完全闭锁（加收）</t>
    </r>
  </si>
  <si>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</si>
  <si>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</si>
  <si>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</si>
  <si>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</si>
  <si>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</si>
  <si>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r>
      <rPr>
        <sz val="12"/>
        <rFont val="宋体"/>
        <charset val="134"/>
      </rPr>
      <t>后鼻孔成形费</t>
    </r>
    <r>
      <rPr>
        <sz val="12"/>
        <rFont val="Times New Roman"/>
        <charset val="0"/>
      </rPr>
      <t>-</t>
    </r>
    <r>
      <rPr>
        <sz val="12"/>
        <rFont val="宋体"/>
        <charset val="134"/>
      </rPr>
      <t>儿童（加收）</t>
    </r>
  </si>
  <si>
    <t>013306010060011</t>
  </si>
  <si>
    <r>
      <rPr>
        <sz val="12"/>
        <rFont val="宋体"/>
        <charset val="134"/>
      </rPr>
      <t>后鼻孔成形费</t>
    </r>
    <r>
      <rPr>
        <sz val="12"/>
        <rFont val="Times New Roman"/>
        <charset val="0"/>
      </rPr>
      <t>-</t>
    </r>
    <r>
      <rPr>
        <sz val="12"/>
        <rFont val="宋体"/>
        <charset val="134"/>
      </rPr>
      <t>鼻孔完全闭锁（加收）</t>
    </r>
  </si>
  <si>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</si>
  <si>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</si>
  <si>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</si>
  <si>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</si>
  <si>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</si>
  <si>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r>
      <rPr>
        <sz val="12"/>
        <rFont val="宋体"/>
        <charset val="134"/>
      </rPr>
      <t>外鼻病变切除费</t>
    </r>
    <r>
      <rPr>
        <sz val="12"/>
        <rFont val="Times New Roman"/>
        <charset val="0"/>
      </rPr>
      <t>-</t>
    </r>
    <r>
      <rPr>
        <sz val="12"/>
        <rFont val="宋体"/>
        <charset val="134"/>
      </rPr>
      <t>儿童（加收）</t>
    </r>
  </si>
  <si>
    <t>013306010090000</t>
  </si>
  <si>
    <r>
      <rPr>
        <sz val="12"/>
        <rFont val="宋体"/>
        <charset val="134"/>
      </rPr>
      <t>鼻中隔血</t>
    </r>
    <r>
      <rPr>
        <sz val="12"/>
        <rFont val="Times New Roman"/>
        <charset val="0"/>
      </rPr>
      <t>/</t>
    </r>
    <r>
      <rPr>
        <sz val="12"/>
        <rFont val="宋体"/>
        <charset val="134"/>
      </rPr>
      <t>脓肿切开引流费</t>
    </r>
  </si>
  <si>
    <r>
      <rPr>
        <sz val="12"/>
        <rFont val="宋体"/>
        <charset val="134"/>
      </rPr>
      <t>通过手术切开引流鼻中隔血</t>
    </r>
    <r>
      <rPr>
        <sz val="12"/>
        <rFont val="Times New Roman"/>
        <charset val="0"/>
      </rPr>
      <t>/</t>
    </r>
    <r>
      <rPr>
        <sz val="12"/>
        <rFont val="宋体"/>
        <charset val="134"/>
      </rPr>
      <t>脓肿。</t>
    </r>
  </si>
  <si>
    <t>所定价格涵盖手术计划、术区准备、消毒、切开、清理、止血、冲洗、填压、缝合、处理用物等步骤所需的人力资源和基本物质资源消耗。</t>
  </si>
  <si>
    <t>013306010090001</t>
  </si>
  <si>
    <r>
      <rPr>
        <sz val="12"/>
        <rFont val="宋体"/>
        <charset val="134"/>
      </rPr>
      <t>鼻中隔血</t>
    </r>
    <r>
      <rPr>
        <sz val="12"/>
        <rFont val="Times New Roman"/>
        <charset val="0"/>
      </rPr>
      <t>/</t>
    </r>
    <r>
      <rPr>
        <sz val="12"/>
        <rFont val="宋体"/>
        <charset val="134"/>
      </rPr>
      <t>脓肿切开引流费</t>
    </r>
    <r>
      <rPr>
        <sz val="12"/>
        <rFont val="Times New Roman"/>
        <charset val="0"/>
      </rPr>
      <t>-</t>
    </r>
    <r>
      <rPr>
        <sz val="12"/>
        <rFont val="宋体"/>
        <charset val="134"/>
      </rPr>
      <t>儿童（加收）</t>
    </r>
  </si>
  <si>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</si>
  <si>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</si>
  <si>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</si>
  <si>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</si>
  <si>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</si>
  <si>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r>
      <rPr>
        <sz val="12"/>
        <rFont val="宋体"/>
        <charset val="134"/>
      </rPr>
      <t>鼻中隔修补费</t>
    </r>
    <r>
      <rPr>
        <sz val="12"/>
        <rFont val="Times New Roman"/>
        <charset val="0"/>
      </rPr>
      <t>-</t>
    </r>
    <r>
      <rPr>
        <sz val="12"/>
        <rFont val="宋体"/>
        <charset val="134"/>
      </rPr>
      <t>儿童（加收）</t>
    </r>
  </si>
  <si>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</si>
  <si>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</si>
  <si>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</si>
  <si>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</si>
  <si>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</si>
  <si>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r>
      <rPr>
        <sz val="12"/>
        <rFont val="宋体"/>
        <charset val="134"/>
      </rPr>
      <t>本项目中的</t>
    </r>
    <r>
      <rPr>
        <sz val="12"/>
        <rFont val="Times New Roman"/>
        <charset val="0"/>
      </rPr>
      <t>“</t>
    </r>
    <r>
      <rPr>
        <sz val="12"/>
        <rFont val="宋体"/>
        <charset val="134"/>
      </rPr>
      <t>部位</t>
    </r>
    <r>
      <rPr>
        <sz val="12"/>
        <rFont val="Times New Roman"/>
        <charset val="0"/>
      </rPr>
      <t>”</t>
    </r>
    <r>
      <rPr>
        <sz val="12"/>
        <rFont val="宋体"/>
        <charset val="134"/>
      </rPr>
      <t>指：上鼻甲、中鼻甲、下鼻甲，不同部位可分别计价收费。</t>
    </r>
  </si>
  <si>
    <t>013306010110001</t>
  </si>
  <si>
    <r>
      <rPr>
        <sz val="12"/>
        <rFont val="宋体"/>
        <charset val="134"/>
      </rPr>
      <t>鼻甲部分切除费</t>
    </r>
    <r>
      <rPr>
        <sz val="12"/>
        <rFont val="Times New Roman"/>
        <charset val="0"/>
      </rPr>
      <t>-</t>
    </r>
    <r>
      <rPr>
        <sz val="12"/>
        <rFont val="宋体"/>
        <charset val="134"/>
      </rPr>
      <t>儿童（加收）</t>
    </r>
  </si>
  <si>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</si>
  <si>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</si>
  <si>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</si>
  <si>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</si>
  <si>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</si>
  <si>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r>
      <rPr>
        <sz val="12"/>
        <rFont val="宋体"/>
        <charset val="134"/>
      </rPr>
      <t>鼻矫形费</t>
    </r>
    <r>
      <rPr>
        <sz val="12"/>
        <rFont val="Times New Roman"/>
        <charset val="0"/>
      </rPr>
      <t>-</t>
    </r>
    <r>
      <rPr>
        <sz val="12"/>
        <rFont val="宋体"/>
        <charset val="134"/>
      </rPr>
      <t>儿童（加收）</t>
    </r>
  </si>
  <si>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</si>
  <si>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</si>
  <si>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</si>
  <si>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</si>
  <si>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</si>
  <si>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r>
      <rPr>
        <sz val="12"/>
        <rFont val="宋体"/>
        <charset val="134"/>
      </rPr>
      <t>鼻腔病变切除费</t>
    </r>
    <r>
      <rPr>
        <sz val="12"/>
        <rFont val="Times New Roman"/>
        <charset val="0"/>
      </rPr>
      <t>-</t>
    </r>
    <r>
      <rPr>
        <sz val="12"/>
        <rFont val="宋体"/>
        <charset val="134"/>
      </rPr>
      <t>儿童（加收）</t>
    </r>
  </si>
  <si>
    <t>013306010140000</t>
  </si>
  <si>
    <t>鼻腔肿瘤切除费</t>
  </si>
  <si>
    <t>通过手术切除鼻腔（鼻前庭、鼻中隔、鼻甲等部位）的肿瘤。</t>
  </si>
  <si>
    <t>013306010140001</t>
  </si>
  <si>
    <r>
      <rPr>
        <sz val="12"/>
        <rFont val="宋体"/>
        <charset val="134"/>
      </rPr>
      <t>鼻腔肿瘤切除费</t>
    </r>
    <r>
      <rPr>
        <sz val="12"/>
        <rFont val="Times New Roman"/>
        <charset val="0"/>
      </rPr>
      <t>-</t>
    </r>
    <r>
      <rPr>
        <sz val="12"/>
        <rFont val="宋体"/>
        <charset val="134"/>
      </rPr>
      <t>儿童（加收）</t>
    </r>
  </si>
  <si>
    <t>013306010140011</t>
  </si>
  <si>
    <r>
      <rPr>
        <sz val="12"/>
        <rFont val="宋体"/>
        <charset val="134"/>
      </rPr>
      <t>鼻腔肿瘤切除费</t>
    </r>
    <r>
      <rPr>
        <sz val="12"/>
        <rFont val="Times New Roman"/>
        <charset val="0"/>
      </rPr>
      <t>-</t>
    </r>
    <r>
      <rPr>
        <sz val="12"/>
        <rFont val="宋体"/>
        <charset val="134"/>
      </rPr>
      <t>恶性肿瘤（加收）</t>
    </r>
  </si>
  <si>
    <t>013306010150000</t>
  </si>
  <si>
    <t>鼻窦病变切除费</t>
  </si>
  <si>
    <t>通过手术切除鼻窦（同时累及鼻腔鼻窦）的囊肿、血肿、脓肿、息肉等病变。</t>
  </si>
  <si>
    <t>不同鼻窦病变切除可分别计价收费。</t>
  </si>
  <si>
    <t>013306010150001</t>
  </si>
  <si>
    <r>
      <rPr>
        <sz val="12"/>
        <rFont val="宋体"/>
        <charset val="134"/>
      </rPr>
      <t>鼻窦病变切除费</t>
    </r>
    <r>
      <rPr>
        <sz val="12"/>
        <rFont val="Times New Roman"/>
        <charset val="0"/>
      </rPr>
      <t>-</t>
    </r>
    <r>
      <rPr>
        <sz val="12"/>
        <rFont val="宋体"/>
        <charset val="134"/>
      </rPr>
      <t>儿童（加收）</t>
    </r>
  </si>
  <si>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</si>
  <si>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</si>
  <si>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</si>
  <si>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</si>
  <si>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</si>
  <si>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</si>
  <si>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r>
      <rPr>
        <sz val="12"/>
        <rFont val="宋体"/>
        <charset val="134"/>
      </rPr>
      <t>鼻窦肿瘤切除费（常规）</t>
    </r>
    <r>
      <rPr>
        <sz val="12"/>
        <rFont val="Times New Roman"/>
        <charset val="0"/>
      </rPr>
      <t>-</t>
    </r>
    <r>
      <rPr>
        <sz val="12"/>
        <rFont val="宋体"/>
        <charset val="134"/>
      </rPr>
      <t>儿童（加收）</t>
    </r>
  </si>
  <si>
    <t>013306010160011</t>
  </si>
  <si>
    <r>
      <rPr>
        <sz val="12"/>
        <rFont val="宋体"/>
        <charset val="134"/>
      </rPr>
      <t>鼻窦肿瘤切除费（常规）</t>
    </r>
    <r>
      <rPr>
        <sz val="12"/>
        <rFont val="Times New Roman"/>
        <charset val="0"/>
      </rPr>
      <t>-</t>
    </r>
    <r>
      <rPr>
        <sz val="12"/>
        <rFont val="宋体"/>
        <charset val="134"/>
      </rPr>
      <t>恶性肿瘤（加收）</t>
    </r>
  </si>
  <si>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</si>
  <si>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</si>
  <si>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</si>
  <si>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</si>
  <si>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r>
      <rPr>
        <sz val="12"/>
        <rFont val="Times New Roman"/>
        <charset val="0"/>
      </rPr>
      <t>1.</t>
    </r>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指：累及双侧的肿瘤、累及眶壁的肿瘤、需要联合手术径路的肿瘤。</t>
    </r>
    <r>
      <rPr>
        <sz val="12"/>
        <rFont val="Times New Roman"/>
        <charset val="0"/>
      </rPr>
      <t xml:space="preserve">
2.</t>
    </r>
    <r>
      <rPr>
        <sz val="12"/>
        <rFont val="宋体"/>
        <charset val="134"/>
      </rPr>
      <t>不同鼻窦肿瘤切除可分别计价收费。</t>
    </r>
  </si>
  <si>
    <t>013306010170001</t>
  </si>
  <si>
    <r>
      <rPr>
        <sz val="12"/>
        <rFont val="宋体"/>
        <charset val="134"/>
      </rPr>
      <t>鼻窦肿瘤切除费（复杂）</t>
    </r>
    <r>
      <rPr>
        <sz val="12"/>
        <rFont val="Times New Roman"/>
        <charset val="0"/>
      </rPr>
      <t>-</t>
    </r>
    <r>
      <rPr>
        <sz val="12"/>
        <rFont val="宋体"/>
        <charset val="134"/>
      </rPr>
      <t>儿童（加收）</t>
    </r>
  </si>
  <si>
    <t>013306010170011</t>
  </si>
  <si>
    <r>
      <rPr>
        <sz val="12"/>
        <rFont val="宋体"/>
        <charset val="134"/>
      </rPr>
      <t>鼻窦肿瘤切除费（复杂）</t>
    </r>
    <r>
      <rPr>
        <sz val="12"/>
        <rFont val="Times New Roman"/>
        <charset val="0"/>
      </rPr>
      <t>-</t>
    </r>
    <r>
      <rPr>
        <sz val="12"/>
        <rFont val="宋体"/>
        <charset val="134"/>
      </rPr>
      <t>恶性肿瘤（加收）</t>
    </r>
  </si>
  <si>
    <t>013306010180000</t>
  </si>
  <si>
    <t>鼻咽部病变切除费</t>
  </si>
  <si>
    <t>通过手术切除鼻咽部的囊肿、血肿、脓肿、息肉等病变。</t>
  </si>
  <si>
    <t>013306010180001</t>
  </si>
  <si>
    <r>
      <rPr>
        <sz val="12"/>
        <rFont val="宋体"/>
        <charset val="134"/>
      </rPr>
      <t>鼻咽部病变切除费</t>
    </r>
    <r>
      <rPr>
        <sz val="12"/>
        <rFont val="Times New Roman"/>
        <charset val="0"/>
      </rPr>
      <t>-</t>
    </r>
    <r>
      <rPr>
        <sz val="12"/>
        <rFont val="宋体"/>
        <charset val="134"/>
      </rPr>
      <t>儿童（加收）</t>
    </r>
  </si>
  <si>
    <t>013306010190000</t>
  </si>
  <si>
    <t>鼻咽部肿瘤切除费（常规）</t>
  </si>
  <si>
    <t>通过手术切除鼻咽部的肿瘤。</t>
  </si>
  <si>
    <t>013306010190001</t>
  </si>
  <si>
    <r>
      <rPr>
        <sz val="12"/>
        <rFont val="宋体"/>
        <charset val="134"/>
      </rPr>
      <t>鼻咽部肿瘤切除费（常规）</t>
    </r>
    <r>
      <rPr>
        <sz val="12"/>
        <rFont val="Times New Roman"/>
        <charset val="0"/>
      </rPr>
      <t>-</t>
    </r>
    <r>
      <rPr>
        <sz val="12"/>
        <rFont val="宋体"/>
        <charset val="134"/>
      </rPr>
      <t>儿童（加收）</t>
    </r>
  </si>
  <si>
    <t>013306010190011</t>
  </si>
  <si>
    <r>
      <rPr>
        <sz val="12"/>
        <rFont val="宋体"/>
        <charset val="134"/>
      </rPr>
      <t>鼻咽部肿瘤切除费（常规）</t>
    </r>
    <r>
      <rPr>
        <sz val="12"/>
        <rFont val="Times New Roman"/>
        <charset val="0"/>
      </rPr>
      <t>-</t>
    </r>
    <r>
      <rPr>
        <sz val="12"/>
        <rFont val="宋体"/>
        <charset val="134"/>
      </rPr>
      <t>恶性肿瘤（加收）</t>
    </r>
  </si>
  <si>
    <t>013306010200000</t>
  </si>
  <si>
    <t>鼻咽部肿瘤切除费（复杂）</t>
  </si>
  <si>
    <t>通过手术切除鼻咽部的复杂肿瘤。</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</si>
  <si>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指：鼻咽纤维血管瘤、累及对侧的肿瘤、累及眶壁的肿瘤、需要联合手术径路的肿瘤。</t>
    </r>
  </si>
  <si>
    <t>013306010200001</t>
  </si>
  <si>
    <r>
      <rPr>
        <sz val="12"/>
        <rFont val="宋体"/>
        <charset val="134"/>
      </rPr>
      <t>鼻咽部肿瘤切除费（复杂）</t>
    </r>
    <r>
      <rPr>
        <sz val="12"/>
        <rFont val="Times New Roman"/>
        <charset val="0"/>
      </rPr>
      <t>-</t>
    </r>
    <r>
      <rPr>
        <sz val="12"/>
        <rFont val="宋体"/>
        <charset val="134"/>
      </rPr>
      <t>儿童（加收）</t>
    </r>
  </si>
  <si>
    <t>013306010200011</t>
  </si>
  <si>
    <r>
      <rPr>
        <sz val="12"/>
        <rFont val="宋体"/>
        <charset val="134"/>
      </rPr>
      <t>鼻咽部肿瘤切除费（复杂）</t>
    </r>
    <r>
      <rPr>
        <sz val="12"/>
        <rFont val="Times New Roman"/>
        <charset val="0"/>
      </rPr>
      <t>-</t>
    </r>
    <r>
      <rPr>
        <sz val="12"/>
        <rFont val="宋体"/>
        <charset val="134"/>
      </rPr>
      <t>恶性肿瘤（加收）</t>
    </r>
  </si>
  <si>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</si>
  <si>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</si>
  <si>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</si>
  <si>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</si>
  <si>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</si>
  <si>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r>
      <rPr>
        <sz val="12"/>
        <rFont val="Times New Roman"/>
        <charset val="0"/>
      </rPr>
      <t>1.“</t>
    </r>
    <r>
      <rPr>
        <sz val="12"/>
        <rFont val="宋体"/>
        <charset val="134"/>
      </rPr>
      <t>鼻窦</t>
    </r>
    <r>
      <rPr>
        <sz val="12"/>
        <rFont val="Times New Roman"/>
        <charset val="0"/>
      </rPr>
      <t>”</t>
    </r>
    <r>
      <rPr>
        <sz val="12"/>
        <rFont val="宋体"/>
        <charset val="134"/>
      </rPr>
      <t>指上颌窦、筛窦、蝶窦、额窦。</t>
    </r>
    <r>
      <rPr>
        <sz val="12"/>
        <rFont val="Times New Roman"/>
        <charset val="0"/>
      </rPr>
      <t xml:space="preserve">
2.</t>
    </r>
    <r>
      <rPr>
        <sz val="12"/>
        <rFont val="宋体"/>
        <charset val="134"/>
      </rPr>
      <t>鼻窦开放手术按常规和复杂合计计数，第一个窦按全价计费，第二个窦起递减</t>
    </r>
    <r>
      <rPr>
        <sz val="12"/>
        <rFont val="Times New Roman"/>
        <charset val="0"/>
      </rPr>
      <t>10%</t>
    </r>
    <r>
      <rPr>
        <sz val="12"/>
        <rFont val="宋体"/>
        <charset val="134"/>
      </rPr>
      <t>（第</t>
    </r>
    <r>
      <rPr>
        <sz val="12"/>
        <rFont val="Times New Roman"/>
        <charset val="0"/>
      </rPr>
      <t>2</t>
    </r>
    <r>
      <rPr>
        <sz val="12"/>
        <rFont val="宋体"/>
        <charset val="134"/>
      </rPr>
      <t>个按</t>
    </r>
    <r>
      <rPr>
        <sz val="12"/>
        <rFont val="Times New Roman"/>
        <charset val="0"/>
      </rPr>
      <t>90%</t>
    </r>
    <r>
      <rPr>
        <sz val="12"/>
        <rFont val="宋体"/>
        <charset val="134"/>
      </rPr>
      <t>、第</t>
    </r>
    <r>
      <rPr>
        <sz val="12"/>
        <rFont val="Times New Roman"/>
        <charset val="0"/>
      </rPr>
      <t>3</t>
    </r>
    <r>
      <rPr>
        <sz val="12"/>
        <rFont val="宋体"/>
        <charset val="134"/>
      </rPr>
      <t>个按</t>
    </r>
    <r>
      <rPr>
        <sz val="12"/>
        <rFont val="Times New Roman"/>
        <charset val="0"/>
      </rPr>
      <t>80%</t>
    </r>
    <r>
      <rPr>
        <sz val="12"/>
        <rFont val="宋体"/>
        <charset val="134"/>
      </rPr>
      <t>、第</t>
    </r>
    <r>
      <rPr>
        <sz val="12"/>
        <rFont val="Times New Roman"/>
        <charset val="0"/>
      </rPr>
      <t>4</t>
    </r>
    <r>
      <rPr>
        <sz val="12"/>
        <rFont val="宋体"/>
        <charset val="134"/>
      </rPr>
      <t>个按</t>
    </r>
    <r>
      <rPr>
        <sz val="12"/>
        <rFont val="Times New Roman"/>
        <charset val="0"/>
      </rPr>
      <t>70%</t>
    </r>
    <r>
      <rPr>
        <sz val="12"/>
        <rFont val="宋体"/>
        <charset val="134"/>
      </rPr>
      <t>、第</t>
    </r>
    <r>
      <rPr>
        <sz val="12"/>
        <rFont val="Times New Roman"/>
        <charset val="0"/>
      </rPr>
      <t>5</t>
    </r>
    <r>
      <rPr>
        <sz val="12"/>
        <rFont val="宋体"/>
        <charset val="134"/>
      </rPr>
      <t>个按</t>
    </r>
    <r>
      <rPr>
        <sz val="12"/>
        <rFont val="Times New Roman"/>
        <charset val="0"/>
      </rPr>
      <t>60%</t>
    </r>
    <r>
      <rPr>
        <sz val="12"/>
        <rFont val="宋体"/>
        <charset val="134"/>
      </rPr>
      <t>、第</t>
    </r>
    <r>
      <rPr>
        <sz val="12"/>
        <rFont val="Times New Roman"/>
        <charset val="0"/>
      </rPr>
      <t>6</t>
    </r>
    <r>
      <rPr>
        <sz val="12"/>
        <rFont val="宋体"/>
        <charset val="134"/>
      </rPr>
      <t>个按</t>
    </r>
    <r>
      <rPr>
        <sz val="12"/>
        <rFont val="Times New Roman"/>
        <charset val="0"/>
      </rPr>
      <t>50%</t>
    </r>
    <r>
      <rPr>
        <sz val="12"/>
        <rFont val="宋体"/>
        <charset val="134"/>
      </rPr>
      <t>、第</t>
    </r>
    <r>
      <rPr>
        <sz val="12"/>
        <rFont val="Times New Roman"/>
        <charset val="0"/>
      </rPr>
      <t>7</t>
    </r>
    <r>
      <rPr>
        <sz val="12"/>
        <rFont val="宋体"/>
        <charset val="134"/>
      </rPr>
      <t>个按</t>
    </r>
    <r>
      <rPr>
        <sz val="12"/>
        <rFont val="Times New Roman"/>
        <charset val="0"/>
      </rPr>
      <t>40%</t>
    </r>
    <r>
      <rPr>
        <sz val="12"/>
        <rFont val="宋体"/>
        <charset val="134"/>
      </rPr>
      <t>、第</t>
    </r>
    <r>
      <rPr>
        <sz val="12"/>
        <rFont val="Times New Roman"/>
        <charset val="0"/>
      </rPr>
      <t>8</t>
    </r>
    <r>
      <rPr>
        <sz val="12"/>
        <rFont val="宋体"/>
        <charset val="134"/>
      </rPr>
      <t>个按</t>
    </r>
    <r>
      <rPr>
        <sz val="12"/>
        <rFont val="Times New Roman"/>
        <charset val="0"/>
      </rPr>
      <t>30%</t>
    </r>
    <r>
      <rPr>
        <sz val="12"/>
        <rFont val="宋体"/>
        <charset val="134"/>
      </rPr>
      <t>）计费。</t>
    </r>
  </si>
  <si>
    <t>013306010210001</t>
  </si>
  <si>
    <r>
      <rPr>
        <sz val="12"/>
        <rFont val="宋体"/>
        <charset val="134"/>
      </rPr>
      <t>鼻窦开放费（常规）</t>
    </r>
    <r>
      <rPr>
        <sz val="12"/>
        <rFont val="Times New Roman"/>
        <charset val="0"/>
      </rPr>
      <t>-</t>
    </r>
    <r>
      <rPr>
        <sz val="12"/>
        <rFont val="宋体"/>
        <charset val="134"/>
      </rPr>
      <t>儿童（加收）</t>
    </r>
  </si>
  <si>
    <t>013306010220000</t>
  </si>
  <si>
    <t>鼻窦开放费（复杂）</t>
  </si>
  <si>
    <t>通过手术实现患者复杂鼻窦开放。</t>
  </si>
  <si>
    <r>
      <rPr>
        <sz val="12"/>
        <rFont val="Times New Roman"/>
        <charset val="0"/>
      </rPr>
      <t>1.“</t>
    </r>
    <r>
      <rPr>
        <sz val="12"/>
        <rFont val="宋体"/>
        <charset val="134"/>
      </rPr>
      <t>鼻窦</t>
    </r>
    <r>
      <rPr>
        <sz val="12"/>
        <rFont val="Times New Roman"/>
        <charset val="0"/>
      </rPr>
      <t>”</t>
    </r>
    <r>
      <rPr>
        <sz val="12"/>
        <rFont val="宋体"/>
        <charset val="134"/>
      </rPr>
      <t>指上颌窦、筛窦、蝶窦、额窦。</t>
    </r>
    <r>
      <rPr>
        <sz val="12"/>
        <rFont val="Times New Roman"/>
        <charset val="0"/>
      </rPr>
      <t xml:space="preserve">
2.</t>
    </r>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指：额窦</t>
    </r>
    <r>
      <rPr>
        <sz val="12"/>
        <rFont val="Times New Roman"/>
        <charset val="0"/>
      </rPr>
      <t>Draf-2b</t>
    </r>
    <r>
      <rPr>
        <sz val="12"/>
        <rFont val="宋体"/>
        <charset val="134"/>
      </rPr>
      <t>型及以上、全筛窦开放、上颌窦下鼻道开窗、泪前引窝入路开窗。</t>
    </r>
    <r>
      <rPr>
        <sz val="12"/>
        <rFont val="Times New Roman"/>
        <charset val="0"/>
      </rPr>
      <t xml:space="preserve">
3.</t>
    </r>
    <r>
      <rPr>
        <sz val="12"/>
        <rFont val="宋体"/>
        <charset val="134"/>
      </rPr>
      <t>鼻窦开放手术按常规和复杂合计计数，第一个窦按全价计费，第二个窦起递减</t>
    </r>
    <r>
      <rPr>
        <sz val="12"/>
        <rFont val="Times New Roman"/>
        <charset val="0"/>
      </rPr>
      <t>10%</t>
    </r>
    <r>
      <rPr>
        <sz val="12"/>
        <rFont val="宋体"/>
        <charset val="134"/>
      </rPr>
      <t>（第</t>
    </r>
    <r>
      <rPr>
        <sz val="12"/>
        <rFont val="Times New Roman"/>
        <charset val="0"/>
      </rPr>
      <t>2</t>
    </r>
    <r>
      <rPr>
        <sz val="12"/>
        <rFont val="宋体"/>
        <charset val="134"/>
      </rPr>
      <t>个按</t>
    </r>
    <r>
      <rPr>
        <sz val="12"/>
        <rFont val="Times New Roman"/>
        <charset val="0"/>
      </rPr>
      <t>90%</t>
    </r>
    <r>
      <rPr>
        <sz val="12"/>
        <rFont val="宋体"/>
        <charset val="134"/>
      </rPr>
      <t>、第</t>
    </r>
    <r>
      <rPr>
        <sz val="12"/>
        <rFont val="Times New Roman"/>
        <charset val="0"/>
      </rPr>
      <t>3</t>
    </r>
    <r>
      <rPr>
        <sz val="12"/>
        <rFont val="宋体"/>
        <charset val="134"/>
      </rPr>
      <t>个按</t>
    </r>
    <r>
      <rPr>
        <sz val="12"/>
        <rFont val="Times New Roman"/>
        <charset val="0"/>
      </rPr>
      <t>80%</t>
    </r>
    <r>
      <rPr>
        <sz val="12"/>
        <rFont val="宋体"/>
        <charset val="134"/>
      </rPr>
      <t>、第</t>
    </r>
    <r>
      <rPr>
        <sz val="12"/>
        <rFont val="Times New Roman"/>
        <charset val="0"/>
      </rPr>
      <t>4</t>
    </r>
    <r>
      <rPr>
        <sz val="12"/>
        <rFont val="宋体"/>
        <charset val="134"/>
      </rPr>
      <t>个按</t>
    </r>
    <r>
      <rPr>
        <sz val="12"/>
        <rFont val="Times New Roman"/>
        <charset val="0"/>
      </rPr>
      <t>70%</t>
    </r>
    <r>
      <rPr>
        <sz val="12"/>
        <rFont val="宋体"/>
        <charset val="134"/>
      </rPr>
      <t>、第</t>
    </r>
    <r>
      <rPr>
        <sz val="12"/>
        <rFont val="Times New Roman"/>
        <charset val="0"/>
      </rPr>
      <t>5</t>
    </r>
    <r>
      <rPr>
        <sz val="12"/>
        <rFont val="宋体"/>
        <charset val="134"/>
      </rPr>
      <t>个按</t>
    </r>
    <r>
      <rPr>
        <sz val="12"/>
        <rFont val="Times New Roman"/>
        <charset val="0"/>
      </rPr>
      <t>60%</t>
    </r>
    <r>
      <rPr>
        <sz val="12"/>
        <rFont val="宋体"/>
        <charset val="134"/>
      </rPr>
      <t>、第</t>
    </r>
    <r>
      <rPr>
        <sz val="12"/>
        <rFont val="Times New Roman"/>
        <charset val="0"/>
      </rPr>
      <t>6</t>
    </r>
    <r>
      <rPr>
        <sz val="12"/>
        <rFont val="宋体"/>
        <charset val="134"/>
      </rPr>
      <t>个按</t>
    </r>
    <r>
      <rPr>
        <sz val="12"/>
        <rFont val="Times New Roman"/>
        <charset val="0"/>
      </rPr>
      <t>50%</t>
    </r>
    <r>
      <rPr>
        <sz val="12"/>
        <rFont val="宋体"/>
        <charset val="134"/>
      </rPr>
      <t>、第</t>
    </r>
    <r>
      <rPr>
        <sz val="12"/>
        <rFont val="Times New Roman"/>
        <charset val="0"/>
      </rPr>
      <t>7</t>
    </r>
    <r>
      <rPr>
        <sz val="12"/>
        <rFont val="宋体"/>
        <charset val="134"/>
      </rPr>
      <t>个按</t>
    </r>
    <r>
      <rPr>
        <sz val="12"/>
        <rFont val="Times New Roman"/>
        <charset val="0"/>
      </rPr>
      <t>40%</t>
    </r>
    <r>
      <rPr>
        <sz val="12"/>
        <rFont val="宋体"/>
        <charset val="134"/>
      </rPr>
      <t>、第</t>
    </r>
    <r>
      <rPr>
        <sz val="12"/>
        <rFont val="Times New Roman"/>
        <charset val="0"/>
      </rPr>
      <t>8</t>
    </r>
    <r>
      <rPr>
        <sz val="12"/>
        <rFont val="宋体"/>
        <charset val="134"/>
      </rPr>
      <t>个按</t>
    </r>
    <r>
      <rPr>
        <sz val="12"/>
        <rFont val="Times New Roman"/>
        <charset val="0"/>
      </rPr>
      <t>30%</t>
    </r>
    <r>
      <rPr>
        <sz val="12"/>
        <rFont val="宋体"/>
        <charset val="134"/>
      </rPr>
      <t>）计费。</t>
    </r>
  </si>
  <si>
    <t>013306010220001</t>
  </si>
  <si>
    <r>
      <rPr>
        <sz val="12"/>
        <rFont val="宋体"/>
        <charset val="134"/>
      </rPr>
      <t>鼻窦开放费（复杂）</t>
    </r>
    <r>
      <rPr>
        <sz val="12"/>
        <rFont val="Times New Roman"/>
        <charset val="0"/>
      </rPr>
      <t>-</t>
    </r>
    <r>
      <rPr>
        <sz val="12"/>
        <rFont val="宋体"/>
        <charset val="134"/>
      </rPr>
      <t>儿童（加收）</t>
    </r>
  </si>
  <si>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</si>
  <si>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</si>
  <si>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</si>
  <si>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</si>
  <si>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</si>
  <si>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r>
      <rPr>
        <sz val="12"/>
        <rFont val="宋体"/>
        <charset val="134"/>
      </rPr>
      <t>鼻骨骨折复位费（切开）</t>
    </r>
    <r>
      <rPr>
        <sz val="12"/>
        <rFont val="Times New Roman"/>
        <charset val="0"/>
      </rPr>
      <t>-</t>
    </r>
    <r>
      <rPr>
        <sz val="12"/>
        <rFont val="宋体"/>
        <charset val="134"/>
      </rPr>
      <t>儿童（加收）</t>
    </r>
  </si>
  <si>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</si>
  <si>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</si>
  <si>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</si>
  <si>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</si>
  <si>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</si>
  <si>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r>
      <rPr>
        <sz val="12"/>
        <rFont val="宋体"/>
        <charset val="134"/>
      </rPr>
      <t>鼻骨骨折复位费（闭合）</t>
    </r>
    <r>
      <rPr>
        <sz val="12"/>
        <rFont val="Times New Roman"/>
        <charset val="0"/>
      </rPr>
      <t>-</t>
    </r>
    <r>
      <rPr>
        <sz val="12"/>
        <rFont val="宋体"/>
        <charset val="134"/>
      </rPr>
      <t>儿童（加收）</t>
    </r>
  </si>
  <si>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</si>
  <si>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</si>
  <si>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</si>
  <si>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</si>
  <si>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</si>
  <si>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</si>
  <si>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r>
      <rPr>
        <sz val="12"/>
        <rFont val="宋体"/>
        <charset val="134"/>
      </rPr>
      <t>鼻部血管结扎费</t>
    </r>
    <r>
      <rPr>
        <sz val="12"/>
        <rFont val="Times New Roman"/>
        <charset val="0"/>
      </rPr>
      <t>-</t>
    </r>
    <r>
      <rPr>
        <sz val="12"/>
        <rFont val="宋体"/>
        <charset val="134"/>
      </rPr>
      <t>儿童（加收）</t>
    </r>
  </si>
  <si>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</si>
  <si>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</si>
  <si>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</si>
  <si>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</si>
  <si>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</si>
  <si>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r>
      <rPr>
        <sz val="12"/>
        <rFont val="宋体"/>
        <charset val="134"/>
      </rPr>
      <t>鼻中隔偏曲矫正费</t>
    </r>
    <r>
      <rPr>
        <sz val="12"/>
        <rFont val="Times New Roman"/>
        <charset val="0"/>
      </rPr>
      <t>-</t>
    </r>
    <r>
      <rPr>
        <sz val="12"/>
        <rFont val="宋体"/>
        <charset val="134"/>
      </rPr>
      <t>儿童（加收）</t>
    </r>
  </si>
  <si>
    <t>013306010270000</t>
  </si>
  <si>
    <t>鼻甲移位费</t>
  </si>
  <si>
    <t>通过手术对鼻甲位置进行调整。</t>
  </si>
  <si>
    <t>所定价格涵盖手术计划、术区准备、消毒、断骨、移位、固定、冲洗、填塞、处理用物等步骤所需的人力资源和基本物质资源消耗。</t>
  </si>
  <si>
    <r>
      <rPr>
        <sz val="12"/>
        <rFont val="宋体"/>
        <charset val="134"/>
      </rPr>
      <t>本项目中的</t>
    </r>
    <r>
      <rPr>
        <sz val="12"/>
        <rFont val="Times New Roman"/>
        <charset val="0"/>
      </rPr>
      <t>“</t>
    </r>
    <r>
      <rPr>
        <sz val="12"/>
        <rFont val="宋体"/>
        <charset val="134"/>
      </rPr>
      <t>部位</t>
    </r>
    <r>
      <rPr>
        <sz val="12"/>
        <rFont val="Times New Roman"/>
        <charset val="0"/>
      </rPr>
      <t>”</t>
    </r>
    <r>
      <rPr>
        <sz val="12"/>
        <rFont val="宋体"/>
        <charset val="134"/>
      </rPr>
      <t>指：上鼻甲、中鼻甲、下鼻甲，不同部位可分别计价。</t>
    </r>
  </si>
  <si>
    <t>013306010270001</t>
  </si>
  <si>
    <r>
      <rPr>
        <sz val="12"/>
        <rFont val="宋体"/>
        <charset val="134"/>
      </rPr>
      <t>鼻甲移位费</t>
    </r>
    <r>
      <rPr>
        <sz val="12"/>
        <rFont val="Times New Roman"/>
        <charset val="0"/>
      </rPr>
      <t>-</t>
    </r>
    <r>
      <rPr>
        <sz val="12"/>
        <rFont val="宋体"/>
        <charset val="134"/>
      </rPr>
      <t>儿童（加收）</t>
    </r>
  </si>
  <si>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</si>
  <si>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</si>
  <si>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</si>
  <si>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</si>
  <si>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</si>
  <si>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r>
      <rPr>
        <sz val="12"/>
        <rFont val="宋体"/>
        <charset val="134"/>
      </rPr>
      <t>鼻腔缩窄费</t>
    </r>
    <r>
      <rPr>
        <sz val="12"/>
        <rFont val="Times New Roman"/>
        <charset val="0"/>
      </rPr>
      <t>-</t>
    </r>
    <r>
      <rPr>
        <sz val="12"/>
        <rFont val="宋体"/>
        <charset val="134"/>
      </rPr>
      <t>儿童（加收）</t>
    </r>
  </si>
  <si>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</si>
  <si>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</si>
  <si>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</si>
  <si>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</si>
  <si>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</si>
  <si>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</si>
  <si>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r>
      <rPr>
        <sz val="12"/>
        <rFont val="宋体"/>
        <charset val="134"/>
      </rPr>
      <t>鼻部支架植入费</t>
    </r>
    <r>
      <rPr>
        <sz val="12"/>
        <rFont val="Times New Roman"/>
        <charset val="0"/>
      </rPr>
      <t>-</t>
    </r>
    <r>
      <rPr>
        <sz val="12"/>
        <rFont val="宋体"/>
        <charset val="134"/>
      </rPr>
      <t>儿童（加收）</t>
    </r>
  </si>
  <si>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</si>
  <si>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</si>
  <si>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</si>
  <si>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</si>
  <si>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</si>
  <si>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r>
      <rPr>
        <sz val="12"/>
        <rFont val="宋体"/>
        <charset val="134"/>
      </rPr>
      <t>鼻部球囊扩张费</t>
    </r>
    <r>
      <rPr>
        <sz val="12"/>
        <rFont val="Times New Roman"/>
        <charset val="0"/>
      </rPr>
      <t>-</t>
    </r>
    <r>
      <rPr>
        <sz val="12"/>
        <rFont val="宋体"/>
        <charset val="134"/>
      </rPr>
      <t>儿童（加收）</t>
    </r>
  </si>
  <si>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</si>
  <si>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</si>
  <si>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</si>
  <si>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</si>
  <si>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</si>
  <si>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r>
      <rPr>
        <sz val="12"/>
        <rFont val="宋体"/>
        <charset val="134"/>
      </rPr>
      <t>口鼻腔前庭瘘修补费</t>
    </r>
    <r>
      <rPr>
        <sz val="12"/>
        <rFont val="Times New Roman"/>
        <charset val="0"/>
      </rPr>
      <t>-</t>
    </r>
    <r>
      <rPr>
        <sz val="12"/>
        <rFont val="宋体"/>
        <charset val="134"/>
      </rPr>
      <t>儿童（加收）</t>
    </r>
  </si>
  <si>
    <t>013306010320000</t>
  </si>
  <si>
    <t>鼻窦瘘修补费</t>
  </si>
  <si>
    <t>通过手术对鼻窦瘘进行修补。</t>
  </si>
  <si>
    <t>所定价格涵盖手术计划、术区准备、消毒、清理瘘口、修补、冲洗、止血、缝合、加压包扎、处理用物等步骤所需的人力资源和基本物质资源消耗。</t>
  </si>
  <si>
    <r>
      <rPr>
        <sz val="12"/>
        <rFont val="Times New Roman"/>
        <charset val="0"/>
      </rPr>
      <t>“</t>
    </r>
    <r>
      <rPr>
        <sz val="12"/>
        <rFont val="宋体"/>
        <charset val="134"/>
      </rPr>
      <t>鼻窦瘘修补</t>
    </r>
    <r>
      <rPr>
        <sz val="12"/>
        <rFont val="Times New Roman"/>
        <charset val="0"/>
      </rPr>
      <t>”</t>
    </r>
    <r>
      <rPr>
        <sz val="12"/>
        <rFont val="宋体"/>
        <charset val="134"/>
      </rPr>
      <t>不包含</t>
    </r>
    <r>
      <rPr>
        <sz val="12"/>
        <rFont val="Times New Roman"/>
        <charset val="0"/>
      </rPr>
      <t>“</t>
    </r>
    <r>
      <rPr>
        <sz val="12"/>
        <rFont val="宋体"/>
        <charset val="134"/>
      </rPr>
      <t>口腔上颌窦瘘修补</t>
    </r>
    <r>
      <rPr>
        <sz val="12"/>
        <rFont val="Times New Roman"/>
        <charset val="0"/>
      </rPr>
      <t>”</t>
    </r>
    <r>
      <rPr>
        <sz val="12"/>
        <rFont val="宋体"/>
        <charset val="134"/>
      </rPr>
      <t>。</t>
    </r>
  </si>
  <si>
    <t>013306010320001</t>
  </si>
  <si>
    <r>
      <rPr>
        <sz val="12"/>
        <rFont val="宋体"/>
        <charset val="134"/>
      </rPr>
      <t>鼻窦瘘修补费</t>
    </r>
    <r>
      <rPr>
        <sz val="12"/>
        <rFont val="Times New Roman"/>
        <charset val="0"/>
      </rPr>
      <t>-</t>
    </r>
    <r>
      <rPr>
        <sz val="12"/>
        <rFont val="宋体"/>
        <charset val="134"/>
      </rPr>
      <t>儿童（加收）</t>
    </r>
  </si>
  <si>
    <t>013306010330000</t>
  </si>
  <si>
    <t>鼻腔粘连分离费</t>
  </si>
  <si>
    <t>通过手术分离鼻腔粘连。</t>
  </si>
  <si>
    <t>所定价格涵盖手术计划、术区准备、消毒、切开、分离、冲洗、止血、处理用物等步骤所需的人力资源和基本物质资源消耗。</t>
  </si>
  <si>
    <t>013306010330001</t>
  </si>
  <si>
    <r>
      <rPr>
        <sz val="12"/>
        <rFont val="宋体"/>
        <charset val="134"/>
      </rPr>
      <t>鼻腔粘连分离费</t>
    </r>
    <r>
      <rPr>
        <sz val="12"/>
        <rFont val="Times New Roman"/>
        <charset val="0"/>
      </rPr>
      <t>-</t>
    </r>
    <r>
      <rPr>
        <sz val="12"/>
        <rFont val="宋体"/>
        <charset val="134"/>
      </rPr>
      <t>儿童（加收）</t>
    </r>
  </si>
  <si>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</si>
  <si>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</si>
  <si>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</si>
  <si>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</si>
  <si>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</si>
  <si>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</si>
  <si>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</si>
  <si>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</si>
  <si>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r>
      <rPr>
        <sz val="12"/>
        <rFont val="宋体"/>
        <charset val="134"/>
      </rPr>
      <t>通过纤维</t>
    </r>
    <r>
      <rPr>
        <sz val="12"/>
        <rFont val="Times New Roman"/>
        <charset val="0"/>
      </rPr>
      <t>/</t>
    </r>
    <r>
      <rPr>
        <sz val="12"/>
        <rFont val="宋体"/>
        <charset val="134"/>
      </rPr>
      <t>电子鼻咽喉镜检查鼻咽喉部形态、组织结构等。</t>
    </r>
  </si>
  <si>
    <r>
      <rPr>
        <sz val="12"/>
        <rFont val="宋体"/>
        <charset val="134"/>
      </rPr>
      <t>本项目中的</t>
    </r>
    <r>
      <rPr>
        <sz val="12"/>
        <rFont val="Times New Roman"/>
        <charset val="0"/>
      </rPr>
      <t>“</t>
    </r>
    <r>
      <rPr>
        <sz val="12"/>
        <rFont val="宋体"/>
        <charset val="134"/>
      </rPr>
      <t>软性鼻咽喉镜</t>
    </r>
    <r>
      <rPr>
        <sz val="12"/>
        <rFont val="Times New Roman"/>
        <charset val="0"/>
      </rPr>
      <t>”</t>
    </r>
    <r>
      <rPr>
        <sz val="12"/>
        <rFont val="宋体"/>
        <charset val="134"/>
      </rPr>
      <t>指：纤维鼻咽喉镜与电子鼻咽喉镜。</t>
    </r>
  </si>
  <si>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</si>
  <si>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</si>
  <si>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</si>
  <si>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</si>
  <si>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</si>
  <si>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</si>
  <si>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</si>
  <si>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</si>
  <si>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r>
      <rPr>
        <sz val="12"/>
        <rFont val="宋体"/>
        <charset val="134"/>
      </rPr>
      <t>支撑喉镜检查费</t>
    </r>
    <r>
      <rPr>
        <sz val="12"/>
        <rFont val="Times New Roman"/>
        <charset val="0"/>
      </rPr>
      <t>-</t>
    </r>
    <r>
      <rPr>
        <sz val="12"/>
        <rFont val="宋体"/>
        <charset val="134"/>
      </rPr>
      <t>直达喉镜检查（扩展）</t>
    </r>
  </si>
  <si>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</si>
  <si>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</si>
  <si>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</si>
  <si>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</si>
  <si>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</si>
  <si>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</si>
  <si>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</si>
  <si>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</si>
  <si>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</si>
  <si>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</si>
  <si>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</si>
  <si>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</si>
  <si>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</si>
  <si>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</si>
  <si>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</si>
  <si>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</si>
  <si>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r>
      <rPr>
        <sz val="12"/>
        <rFont val="宋体"/>
        <charset val="134"/>
      </rPr>
      <t>异物取出费（口咽部）</t>
    </r>
    <r>
      <rPr>
        <sz val="12"/>
        <rFont val="Times New Roman"/>
        <charset val="0"/>
      </rPr>
      <t>-</t>
    </r>
    <r>
      <rPr>
        <sz val="12"/>
        <rFont val="宋体"/>
        <charset val="134"/>
      </rPr>
      <t>儿童（加收）</t>
    </r>
  </si>
  <si>
    <t>013306010340000</t>
  </si>
  <si>
    <r>
      <rPr>
        <sz val="12"/>
        <rFont val="宋体"/>
        <charset val="134"/>
      </rPr>
      <t>异物取出费（喉</t>
    </r>
    <r>
      <rPr>
        <sz val="12"/>
        <rFont val="Times New Roman"/>
        <charset val="0"/>
      </rPr>
      <t>/</t>
    </r>
    <r>
      <rPr>
        <sz val="12"/>
        <rFont val="宋体"/>
        <charset val="134"/>
      </rPr>
      <t>下咽）</t>
    </r>
  </si>
  <si>
    <t>通过手术取出会厌以下异物。</t>
  </si>
  <si>
    <t>所定价格涵盖手术计划、术区准备、消毒、取出异物、冲洗、处理用物等步骤所需的人力资源和基本物质资源消耗。</t>
  </si>
  <si>
    <t>013306010340001</t>
  </si>
  <si>
    <r>
      <rPr>
        <sz val="12"/>
        <rFont val="宋体"/>
        <charset val="134"/>
      </rPr>
      <t>异物取出费（喉</t>
    </r>
    <r>
      <rPr>
        <sz val="12"/>
        <rFont val="Times New Roman"/>
        <charset val="0"/>
      </rPr>
      <t>/</t>
    </r>
    <r>
      <rPr>
        <sz val="12"/>
        <rFont val="宋体"/>
        <charset val="134"/>
      </rPr>
      <t>下咽）</t>
    </r>
    <r>
      <rPr>
        <sz val="12"/>
        <rFont val="Times New Roman"/>
        <charset val="0"/>
      </rPr>
      <t>-</t>
    </r>
    <r>
      <rPr>
        <sz val="12"/>
        <rFont val="宋体"/>
        <charset val="134"/>
      </rPr>
      <t>儿童（加收）</t>
    </r>
  </si>
  <si>
    <t>013104020080000</t>
  </si>
  <si>
    <t>咽喉部治疗费（常规）</t>
  </si>
  <si>
    <t>通过各种方式对咽喉部进行上药、穿刺、注射、止血等常规治疗。</t>
  </si>
  <si>
    <t>同一治疗位置只可收费一次。咽部冷冻治疗按常规收费。</t>
  </si>
  <si>
    <t>013104020080001</t>
  </si>
  <si>
    <r>
      <rPr>
        <sz val="12"/>
        <rFont val="宋体"/>
        <charset val="134"/>
      </rPr>
      <t>咽喉部治疗费（常规）</t>
    </r>
    <r>
      <rPr>
        <sz val="12"/>
        <rFont val="Times New Roman"/>
        <charset val="0"/>
      </rPr>
      <t>-</t>
    </r>
    <r>
      <rPr>
        <sz val="12"/>
        <rFont val="宋体"/>
        <charset val="134"/>
      </rPr>
      <t>儿童（加收）</t>
    </r>
  </si>
  <si>
    <t>013104020090000</t>
  </si>
  <si>
    <t>咽喉部治疗费（特殊）</t>
  </si>
  <si>
    <t>通过激光、射频、微波等各种方式对咽喉部进行特殊治疗。</t>
  </si>
  <si>
    <r>
      <rPr>
        <sz val="12"/>
        <rFont val="Times New Roman"/>
        <charset val="0"/>
      </rPr>
      <t>1.</t>
    </r>
    <r>
      <rPr>
        <sz val="12"/>
        <rFont val="宋体"/>
        <charset val="134"/>
      </rPr>
      <t>同一治疗位置只可收费一次。</t>
    </r>
    <r>
      <rPr>
        <sz val="12"/>
        <rFont val="Times New Roman"/>
        <charset val="0"/>
      </rPr>
      <t xml:space="preserve">
2.</t>
    </r>
    <r>
      <rPr>
        <sz val="12"/>
        <rFont val="宋体"/>
        <charset val="134"/>
      </rPr>
      <t>常规治疗转特殊治疗按照</t>
    </r>
    <r>
      <rPr>
        <sz val="12"/>
        <rFont val="Times New Roman"/>
        <charset val="0"/>
      </rPr>
      <t>“</t>
    </r>
    <r>
      <rPr>
        <sz val="12"/>
        <rFont val="宋体"/>
        <charset val="134"/>
      </rPr>
      <t>咽喉部治疗费（特殊）</t>
    </r>
    <r>
      <rPr>
        <sz val="12"/>
        <rFont val="Times New Roman"/>
        <charset val="0"/>
      </rPr>
      <t>”</t>
    </r>
    <r>
      <rPr>
        <sz val="12"/>
        <rFont val="宋体"/>
        <charset val="134"/>
      </rPr>
      <t>收取。</t>
    </r>
  </si>
  <si>
    <t>013104020090001</t>
  </si>
  <si>
    <r>
      <rPr>
        <sz val="12"/>
        <rFont val="宋体"/>
        <charset val="134"/>
      </rPr>
      <t>咽喉部治疗费（特殊）</t>
    </r>
    <r>
      <rPr>
        <sz val="12"/>
        <rFont val="Times New Roman"/>
        <charset val="0"/>
      </rPr>
      <t>-</t>
    </r>
    <r>
      <rPr>
        <sz val="12"/>
        <rFont val="宋体"/>
        <charset val="134"/>
      </rPr>
      <t>儿童（加收）</t>
    </r>
  </si>
  <si>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</si>
  <si>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</si>
  <si>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</si>
  <si>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</si>
  <si>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</si>
  <si>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r>
      <rPr>
        <sz val="12"/>
        <rFont val="宋体"/>
        <charset val="134"/>
      </rPr>
      <t>环咽肌扩张费</t>
    </r>
    <r>
      <rPr>
        <sz val="12"/>
        <rFont val="Times New Roman"/>
        <charset val="0"/>
      </rPr>
      <t>-</t>
    </r>
    <r>
      <rPr>
        <sz val="12"/>
        <rFont val="宋体"/>
        <charset val="134"/>
      </rPr>
      <t>儿童（加收）</t>
    </r>
  </si>
  <si>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</si>
  <si>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</si>
  <si>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</si>
  <si>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</si>
  <si>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</si>
  <si>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r>
      <rPr>
        <sz val="12"/>
        <rFont val="宋体"/>
        <charset val="134"/>
      </rPr>
      <t>口咽部病变切除费</t>
    </r>
    <r>
      <rPr>
        <sz val="12"/>
        <rFont val="Times New Roman"/>
        <charset val="0"/>
      </rPr>
      <t>-</t>
    </r>
    <r>
      <rPr>
        <sz val="12"/>
        <rFont val="宋体"/>
        <charset val="134"/>
      </rPr>
      <t>儿童（加收）</t>
    </r>
  </si>
  <si>
    <t>013306010360000</t>
  </si>
  <si>
    <t>口咽部分切除费</t>
  </si>
  <si>
    <t>通过手术切除口咽部部分组织。</t>
  </si>
  <si>
    <t>013306010360001</t>
  </si>
  <si>
    <r>
      <rPr>
        <sz val="12"/>
        <rFont val="宋体"/>
        <charset val="134"/>
      </rPr>
      <t>口咽部分切除费</t>
    </r>
    <r>
      <rPr>
        <sz val="12"/>
        <rFont val="Times New Roman"/>
        <charset val="0"/>
      </rPr>
      <t>-</t>
    </r>
    <r>
      <rPr>
        <sz val="12"/>
        <rFont val="宋体"/>
        <charset val="134"/>
      </rPr>
      <t>儿童（加收）</t>
    </r>
  </si>
  <si>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</si>
  <si>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</si>
  <si>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</si>
  <si>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</si>
  <si>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</si>
  <si>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r>
      <rPr>
        <sz val="12"/>
        <rFont val="宋体"/>
        <charset val="134"/>
      </rPr>
      <t>咽旁间隙病变切除费</t>
    </r>
    <r>
      <rPr>
        <sz val="12"/>
        <rFont val="Times New Roman"/>
        <charset val="0"/>
      </rPr>
      <t>-</t>
    </r>
    <r>
      <rPr>
        <sz val="12"/>
        <rFont val="宋体"/>
        <charset val="134"/>
      </rPr>
      <t>儿童（加收）</t>
    </r>
  </si>
  <si>
    <t>013306010380000</t>
  </si>
  <si>
    <t>咽旁间隙肿瘤切除费</t>
  </si>
  <si>
    <t>通过手术切除咽旁间隙肿瘤。</t>
  </si>
  <si>
    <t>013306010380001</t>
  </si>
  <si>
    <r>
      <rPr>
        <sz val="12"/>
        <rFont val="宋体"/>
        <charset val="134"/>
      </rPr>
      <t>咽旁间隙肿瘤切除费</t>
    </r>
    <r>
      <rPr>
        <sz val="12"/>
        <rFont val="Times New Roman"/>
        <charset val="0"/>
      </rPr>
      <t>-</t>
    </r>
    <r>
      <rPr>
        <sz val="12"/>
        <rFont val="宋体"/>
        <charset val="134"/>
      </rPr>
      <t>儿童（加收）</t>
    </r>
  </si>
  <si>
    <t>013306010380011</t>
  </si>
  <si>
    <r>
      <rPr>
        <sz val="12"/>
        <rFont val="宋体"/>
        <charset val="134"/>
      </rPr>
      <t>咽旁间隙肿瘤切除费</t>
    </r>
    <r>
      <rPr>
        <sz val="12"/>
        <rFont val="Times New Roman"/>
        <charset val="0"/>
      </rPr>
      <t>-</t>
    </r>
    <r>
      <rPr>
        <sz val="12"/>
        <rFont val="宋体"/>
        <charset val="134"/>
      </rPr>
      <t>恶性肿瘤（加收）</t>
    </r>
  </si>
  <si>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</si>
  <si>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</si>
  <si>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</si>
  <si>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</si>
  <si>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</si>
  <si>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r>
      <rPr>
        <sz val="12"/>
        <rFont val="宋体"/>
        <charset val="134"/>
      </rPr>
      <t>下咽部病变切除费</t>
    </r>
    <r>
      <rPr>
        <sz val="12"/>
        <rFont val="Times New Roman"/>
        <charset val="0"/>
      </rPr>
      <t>-</t>
    </r>
    <r>
      <rPr>
        <sz val="12"/>
        <rFont val="宋体"/>
        <charset val="134"/>
      </rPr>
      <t>儿童（加收）</t>
    </r>
  </si>
  <si>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</si>
  <si>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</si>
  <si>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</si>
  <si>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</si>
  <si>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</si>
  <si>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r>
      <rPr>
        <sz val="12"/>
        <rFont val="宋体"/>
        <charset val="134"/>
      </rPr>
      <t>下咽部分切除费</t>
    </r>
    <r>
      <rPr>
        <sz val="12"/>
        <rFont val="Times New Roman"/>
        <charset val="0"/>
      </rPr>
      <t>-</t>
    </r>
    <r>
      <rPr>
        <sz val="12"/>
        <rFont val="宋体"/>
        <charset val="134"/>
      </rPr>
      <t>儿童（加收）</t>
    </r>
  </si>
  <si>
    <t>013306010410000</t>
  </si>
  <si>
    <t>下咽全切除费</t>
  </si>
  <si>
    <t>通过手术切除全部下咽（梨状窝、下咽后壁、环后区）。</t>
  </si>
  <si>
    <t>013306010410001</t>
  </si>
  <si>
    <r>
      <rPr>
        <sz val="12"/>
        <rFont val="宋体"/>
        <charset val="134"/>
      </rPr>
      <t>下咽全切除费</t>
    </r>
    <r>
      <rPr>
        <sz val="12"/>
        <rFont val="Times New Roman"/>
        <charset val="0"/>
      </rPr>
      <t>-</t>
    </r>
    <r>
      <rPr>
        <sz val="12"/>
        <rFont val="宋体"/>
        <charset val="134"/>
      </rPr>
      <t>儿童（加收）</t>
    </r>
  </si>
  <si>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</si>
  <si>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</si>
  <si>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</si>
  <si>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</si>
  <si>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</si>
  <si>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r>
      <rPr>
        <sz val="12"/>
        <rFont val="宋体"/>
        <charset val="134"/>
      </rPr>
      <t>咽功能重建费</t>
    </r>
    <r>
      <rPr>
        <sz val="12"/>
        <rFont val="Times New Roman"/>
        <charset val="0"/>
      </rPr>
      <t>-</t>
    </r>
    <r>
      <rPr>
        <sz val="12"/>
        <rFont val="宋体"/>
        <charset val="134"/>
      </rPr>
      <t>儿童（加收）</t>
    </r>
  </si>
  <si>
    <t>013306010430000</t>
  </si>
  <si>
    <t>悬雍垂缩短费</t>
  </si>
  <si>
    <t>通过手术缩短悬雍垂。</t>
  </si>
  <si>
    <t>所定价格涵盖手术计划、术区准备、消毒、切除、缝合、止血、处理用物等步骤所需的人力资源和基本物质资源消耗。</t>
  </si>
  <si>
    <t>013306010430001</t>
  </si>
  <si>
    <r>
      <rPr>
        <sz val="12"/>
        <rFont val="宋体"/>
        <charset val="134"/>
      </rPr>
      <t>悬雍垂缩短费</t>
    </r>
    <r>
      <rPr>
        <sz val="12"/>
        <rFont val="Times New Roman"/>
        <charset val="0"/>
      </rPr>
      <t>-</t>
    </r>
    <r>
      <rPr>
        <sz val="12"/>
        <rFont val="宋体"/>
        <charset val="134"/>
      </rPr>
      <t>儿童（加收）</t>
    </r>
  </si>
  <si>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</si>
  <si>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</si>
  <si>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</si>
  <si>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</si>
  <si>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</si>
  <si>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r>
      <rPr>
        <sz val="12"/>
        <rFont val="宋体"/>
        <charset val="134"/>
      </rPr>
      <t>腭咽成形费</t>
    </r>
    <r>
      <rPr>
        <sz val="12"/>
        <rFont val="Times New Roman"/>
        <charset val="0"/>
      </rPr>
      <t>-</t>
    </r>
    <r>
      <rPr>
        <sz val="12"/>
        <rFont val="宋体"/>
        <charset val="134"/>
      </rPr>
      <t>儿童（加收）</t>
    </r>
  </si>
  <si>
    <t>013306010450000</t>
  </si>
  <si>
    <t>腭帆缩短费</t>
  </si>
  <si>
    <t>通过手术缩短腭帆长度。</t>
  </si>
  <si>
    <t>所定价格涵盖手术计划、术区准备、消毒、切开、分离、成形、缝合、止血、处理用物等步骤所需的人力资源和基本物质资源消耗。</t>
  </si>
  <si>
    <t>013306010450001</t>
  </si>
  <si>
    <r>
      <rPr>
        <sz val="12"/>
        <rFont val="宋体"/>
        <charset val="134"/>
      </rPr>
      <t>腭帆缩短费</t>
    </r>
    <r>
      <rPr>
        <sz val="12"/>
        <rFont val="Times New Roman"/>
        <charset val="0"/>
      </rPr>
      <t>-</t>
    </r>
    <r>
      <rPr>
        <sz val="12"/>
        <rFont val="宋体"/>
        <charset val="134"/>
      </rPr>
      <t>儿童（加收）</t>
    </r>
  </si>
  <si>
    <t>013306010460000</t>
  </si>
  <si>
    <t>腭扁桃体切除费</t>
  </si>
  <si>
    <t>通过手术切除腭扁桃体。</t>
  </si>
  <si>
    <t>013306010460001</t>
  </si>
  <si>
    <r>
      <rPr>
        <sz val="12"/>
        <rFont val="宋体"/>
        <charset val="134"/>
      </rPr>
      <t>腭扁桃体切除费</t>
    </r>
    <r>
      <rPr>
        <sz val="12"/>
        <rFont val="Times New Roman"/>
        <charset val="0"/>
      </rPr>
      <t>-</t>
    </r>
    <r>
      <rPr>
        <sz val="12"/>
        <rFont val="宋体"/>
        <charset val="134"/>
      </rPr>
      <t>儿童（加收）</t>
    </r>
  </si>
  <si>
    <t>013306010470000</t>
  </si>
  <si>
    <t>腺样体切除费</t>
  </si>
  <si>
    <t>通过手术切除腺样体。</t>
  </si>
  <si>
    <t>013306010470001</t>
  </si>
  <si>
    <r>
      <rPr>
        <sz val="12"/>
        <rFont val="宋体"/>
        <charset val="134"/>
      </rPr>
      <t>腺样体切除费</t>
    </r>
    <r>
      <rPr>
        <sz val="12"/>
        <rFont val="Times New Roman"/>
        <charset val="0"/>
      </rPr>
      <t>-</t>
    </r>
    <r>
      <rPr>
        <sz val="12"/>
        <rFont val="宋体"/>
        <charset val="134"/>
      </rPr>
      <t>儿童（加收）</t>
    </r>
  </si>
  <si>
    <t>013306010480000</t>
  </si>
  <si>
    <t>舌扁桃体切除费</t>
  </si>
  <si>
    <t>通过手术切除舌扁桃体。</t>
  </si>
  <si>
    <t>所定价格涵盖手术计划、术区准备、消毒、切开、切除、缝合、止血、处理用物等步骤所需的人力资源和基本物质资源消耗。</t>
  </si>
  <si>
    <t>013306010480001</t>
  </si>
  <si>
    <r>
      <rPr>
        <sz val="12"/>
        <rFont val="宋体"/>
        <charset val="134"/>
      </rPr>
      <t>舌扁桃体切除费</t>
    </r>
    <r>
      <rPr>
        <sz val="12"/>
        <rFont val="Times New Roman"/>
        <charset val="0"/>
      </rPr>
      <t>-</t>
    </r>
    <r>
      <rPr>
        <sz val="12"/>
        <rFont val="宋体"/>
        <charset val="134"/>
      </rPr>
      <t>儿童（加收）</t>
    </r>
  </si>
  <si>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</si>
  <si>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</si>
  <si>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</si>
  <si>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</si>
  <si>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</si>
  <si>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r>
      <rPr>
        <sz val="12"/>
        <rFont val="宋体"/>
        <charset val="134"/>
      </rPr>
      <t>会厌病变切除费</t>
    </r>
    <r>
      <rPr>
        <sz val="12"/>
        <rFont val="Times New Roman"/>
        <charset val="0"/>
      </rPr>
      <t>-</t>
    </r>
    <r>
      <rPr>
        <sz val="12"/>
        <rFont val="宋体"/>
        <charset val="134"/>
      </rPr>
      <t>儿童（加收）</t>
    </r>
  </si>
  <si>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</si>
  <si>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</si>
  <si>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</si>
  <si>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</si>
  <si>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</si>
  <si>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r>
      <rPr>
        <sz val="12"/>
        <rFont val="宋体"/>
        <charset val="134"/>
      </rPr>
      <t>喉部病变切除费</t>
    </r>
    <r>
      <rPr>
        <sz val="12"/>
        <rFont val="Times New Roman"/>
        <charset val="0"/>
      </rPr>
      <t>-</t>
    </r>
    <r>
      <rPr>
        <sz val="12"/>
        <rFont val="宋体"/>
        <charset val="134"/>
      </rPr>
      <t>儿童（加收）</t>
    </r>
  </si>
  <si>
    <t>013306010510000</t>
  </si>
  <si>
    <t>喉部分切除费</t>
  </si>
  <si>
    <t>通过手术切除喉部部分组织。</t>
  </si>
  <si>
    <t>013306010510001</t>
  </si>
  <si>
    <r>
      <rPr>
        <sz val="12"/>
        <rFont val="宋体"/>
        <charset val="134"/>
      </rPr>
      <t>喉部分切除费</t>
    </r>
    <r>
      <rPr>
        <sz val="12"/>
        <rFont val="Times New Roman"/>
        <charset val="0"/>
      </rPr>
      <t>-</t>
    </r>
    <r>
      <rPr>
        <sz val="12"/>
        <rFont val="宋体"/>
        <charset val="134"/>
      </rPr>
      <t>儿童（加收）</t>
    </r>
  </si>
  <si>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</si>
  <si>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</si>
  <si>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</si>
  <si>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</si>
  <si>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</si>
  <si>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r>
      <rPr>
        <sz val="12"/>
        <rFont val="宋体"/>
        <charset val="134"/>
      </rPr>
      <t>喉全切除费</t>
    </r>
    <r>
      <rPr>
        <sz val="12"/>
        <rFont val="Times New Roman"/>
        <charset val="0"/>
      </rPr>
      <t>-</t>
    </r>
    <r>
      <rPr>
        <sz val="12"/>
        <rFont val="宋体"/>
        <charset val="134"/>
      </rPr>
      <t>儿童（加收）</t>
    </r>
  </si>
  <si>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</si>
  <si>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</si>
  <si>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</si>
  <si>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</si>
  <si>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</si>
  <si>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r>
      <rPr>
        <sz val="12"/>
        <rFont val="宋体"/>
        <charset val="134"/>
      </rPr>
      <t>喉功能重建费（常规）</t>
    </r>
    <r>
      <rPr>
        <sz val="12"/>
        <rFont val="Times New Roman"/>
        <charset val="0"/>
      </rPr>
      <t>-</t>
    </r>
    <r>
      <rPr>
        <sz val="12"/>
        <rFont val="宋体"/>
        <charset val="134"/>
      </rPr>
      <t>儿童（加收）</t>
    </r>
  </si>
  <si>
    <t>013306010540000</t>
  </si>
  <si>
    <t>喉功能重建费（复杂）</t>
  </si>
  <si>
    <t>通过手术重建复杂情况喉功能。</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</si>
  <si>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指：声带外移、声带内移、声带填充、甲状软骨成形、杓状软骨切除、环杓关节拨动。</t>
    </r>
  </si>
  <si>
    <t>013306010540001</t>
  </si>
  <si>
    <r>
      <rPr>
        <sz val="12"/>
        <rFont val="宋体"/>
        <charset val="134"/>
      </rPr>
      <t>喉功能重建费（复杂）</t>
    </r>
    <r>
      <rPr>
        <sz val="12"/>
        <rFont val="Times New Roman"/>
        <charset val="0"/>
      </rPr>
      <t>-</t>
    </r>
    <r>
      <rPr>
        <sz val="12"/>
        <rFont val="宋体"/>
        <charset val="134"/>
      </rPr>
      <t>儿童（加收）</t>
    </r>
  </si>
  <si>
    <t>013306010550000</t>
  </si>
  <si>
    <t>淋巴结清扫费（颈部）</t>
  </si>
  <si>
    <t>通过手术清扫颈部淋巴结。</t>
  </si>
  <si>
    <r>
      <rPr>
        <sz val="12"/>
        <rFont val="宋体"/>
        <charset val="134"/>
      </rPr>
      <t>本项目中的</t>
    </r>
    <r>
      <rPr>
        <sz val="12"/>
        <rFont val="Times New Roman"/>
        <charset val="0"/>
      </rPr>
      <t>“</t>
    </r>
    <r>
      <rPr>
        <sz val="12"/>
        <rFont val="宋体"/>
        <charset val="134"/>
      </rPr>
      <t>次</t>
    </r>
    <r>
      <rPr>
        <sz val="12"/>
        <rFont val="Times New Roman"/>
        <charset val="0"/>
      </rPr>
      <t>”</t>
    </r>
    <r>
      <rPr>
        <sz val="12"/>
        <rFont val="宋体"/>
        <charset val="134"/>
      </rPr>
      <t>指：小于等于</t>
    </r>
    <r>
      <rPr>
        <sz val="12"/>
        <rFont val="Times New Roman"/>
        <charset val="0"/>
      </rPr>
      <t>3</t>
    </r>
    <r>
      <rPr>
        <sz val="12"/>
        <rFont val="宋体"/>
        <charset val="134"/>
      </rPr>
      <t>区，每增加</t>
    </r>
    <r>
      <rPr>
        <sz val="12"/>
        <rFont val="Times New Roman"/>
        <charset val="0"/>
      </rPr>
      <t>1</t>
    </r>
    <r>
      <rPr>
        <sz val="12"/>
        <rFont val="宋体"/>
        <charset val="134"/>
      </rPr>
      <t>区加收</t>
    </r>
    <r>
      <rPr>
        <sz val="12"/>
        <rFont val="Times New Roman"/>
        <charset val="0"/>
      </rPr>
      <t>33%</t>
    </r>
    <r>
      <rPr>
        <sz val="12"/>
        <rFont val="宋体"/>
        <charset val="134"/>
      </rPr>
      <t>，最多收费</t>
    </r>
    <r>
      <rPr>
        <sz val="12"/>
        <rFont val="Times New Roman"/>
        <charset val="0"/>
      </rPr>
      <t>3678</t>
    </r>
    <r>
      <rPr>
        <sz val="12"/>
        <rFont val="宋体"/>
        <charset val="134"/>
      </rPr>
      <t>元。如涉及邻近其他部位淋巴结清扫，视同增加</t>
    </r>
    <r>
      <rPr>
        <sz val="12"/>
        <rFont val="Times New Roman"/>
        <charset val="0"/>
      </rPr>
      <t>1</t>
    </r>
    <r>
      <rPr>
        <sz val="12"/>
        <rFont val="宋体"/>
        <charset val="134"/>
      </rPr>
      <t>区。</t>
    </r>
  </si>
  <si>
    <t>013306010550001</t>
  </si>
  <si>
    <r>
      <rPr>
        <sz val="12"/>
        <rFont val="宋体"/>
        <charset val="134"/>
      </rPr>
      <t>淋巴结清扫费（颈部）</t>
    </r>
    <r>
      <rPr>
        <sz val="12"/>
        <rFont val="Times New Roman"/>
        <charset val="0"/>
      </rPr>
      <t>-</t>
    </r>
    <r>
      <rPr>
        <sz val="12"/>
        <rFont val="宋体"/>
        <charset val="134"/>
      </rPr>
      <t>儿童（加收）</t>
    </r>
  </si>
  <si>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</si>
  <si>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</si>
  <si>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</si>
  <si>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</si>
  <si>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</si>
  <si>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r>
      <rPr>
        <sz val="12"/>
        <rFont val="宋体"/>
        <charset val="134"/>
      </rPr>
      <t>喉狭窄扩张费</t>
    </r>
    <r>
      <rPr>
        <sz val="12"/>
        <rFont val="Times New Roman"/>
        <charset val="0"/>
      </rPr>
      <t>-</t>
    </r>
    <r>
      <rPr>
        <sz val="12"/>
        <rFont val="宋体"/>
        <charset val="134"/>
      </rPr>
      <t>儿童（加收）</t>
    </r>
  </si>
  <si>
    <t>013306010570000</t>
  </si>
  <si>
    <t>喉气道支撑物置入费</t>
  </si>
  <si>
    <t>通过手术置入支撑物支撑气道。</t>
  </si>
  <si>
    <r>
      <rPr>
        <sz val="12"/>
        <rFont val="宋体"/>
        <charset val="134"/>
      </rPr>
      <t>所定价格涵盖手术计划、术区准备、消毒、切开、分离</t>
    </r>
    <r>
      <rPr>
        <sz val="12"/>
        <rFont val="Times New Roman"/>
        <charset val="0"/>
      </rPr>
      <t xml:space="preserve"> </t>
    </r>
    <r>
      <rPr>
        <sz val="12"/>
        <rFont val="宋体"/>
        <charset val="134"/>
      </rPr>
      <t>、松解、支撑物置入、包扎缝合、处理用物等步骤所需的人力资源和基本物质资源消耗。</t>
    </r>
  </si>
  <si>
    <t>013306010570001</t>
  </si>
  <si>
    <r>
      <rPr>
        <sz val="12"/>
        <rFont val="宋体"/>
        <charset val="134"/>
      </rPr>
      <t>喉气道支撑物置入费</t>
    </r>
    <r>
      <rPr>
        <sz val="12"/>
        <rFont val="Times New Roman"/>
        <charset val="0"/>
      </rPr>
      <t>-</t>
    </r>
    <r>
      <rPr>
        <sz val="12"/>
        <rFont val="宋体"/>
        <charset val="134"/>
      </rPr>
      <t>儿童（加收）</t>
    </r>
  </si>
  <si>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</si>
  <si>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</si>
  <si>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</si>
  <si>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</si>
  <si>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</si>
  <si>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r>
      <rPr>
        <sz val="12"/>
        <rFont val="宋体"/>
        <charset val="134"/>
      </rPr>
      <t>喉气道支撑物取出费</t>
    </r>
    <r>
      <rPr>
        <sz val="12"/>
        <rFont val="Times New Roman"/>
        <charset val="0"/>
      </rPr>
      <t>-</t>
    </r>
    <r>
      <rPr>
        <sz val="12"/>
        <rFont val="宋体"/>
        <charset val="134"/>
      </rPr>
      <t>儿童（加收）</t>
    </r>
  </si>
  <si>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</si>
  <si>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</si>
  <si>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</si>
  <si>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</si>
  <si>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</si>
  <si>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r>
      <rPr>
        <sz val="12"/>
        <rFont val="宋体"/>
        <charset val="134"/>
      </rPr>
      <t>梨状窝瘘内瘘口封闭费</t>
    </r>
    <r>
      <rPr>
        <sz val="12"/>
        <rFont val="Times New Roman"/>
        <charset val="0"/>
      </rPr>
      <t>-</t>
    </r>
    <r>
      <rPr>
        <sz val="12"/>
        <rFont val="宋体"/>
        <charset val="134"/>
      </rPr>
      <t>儿童（加收）</t>
    </r>
  </si>
  <si>
    <t>013306010600000</t>
  </si>
  <si>
    <t>颈部气管瘘闭合费</t>
  </si>
  <si>
    <t>通过手术关闭颈部气管瘘口。</t>
  </si>
  <si>
    <t>所定价格涵盖手术计划、术区准备、消毒、切开、修复、缝合、处理用物等步骤所需的人力资源和基本物质资源消耗。</t>
  </si>
  <si>
    <t>013306010600001</t>
  </si>
  <si>
    <r>
      <rPr>
        <sz val="12"/>
        <rFont val="宋体"/>
        <charset val="134"/>
      </rPr>
      <t>颈部气管瘘闭合费</t>
    </r>
    <r>
      <rPr>
        <sz val="12"/>
        <rFont val="Times New Roman"/>
        <charset val="0"/>
      </rPr>
      <t>-</t>
    </r>
    <r>
      <rPr>
        <sz val="12"/>
        <rFont val="宋体"/>
        <charset val="134"/>
      </rPr>
      <t>儿童（加收）</t>
    </r>
  </si>
  <si>
    <t>013306010610000</t>
  </si>
  <si>
    <t>咽瘘修复费</t>
  </si>
  <si>
    <t>通过手术修复咽瘘。</t>
  </si>
  <si>
    <t>所定价格涵盖手术计划、术区准备、消毒、修复、缝合、止血、处理用物等步骤所需的人力资源和基本物质资源消耗。</t>
  </si>
  <si>
    <t>013306010610001</t>
  </si>
  <si>
    <r>
      <rPr>
        <sz val="12"/>
        <rFont val="宋体"/>
        <charset val="134"/>
      </rPr>
      <t>咽瘘修复费</t>
    </r>
    <r>
      <rPr>
        <sz val="12"/>
        <rFont val="Times New Roman"/>
        <charset val="0"/>
      </rPr>
      <t>-</t>
    </r>
    <r>
      <rPr>
        <sz val="12"/>
        <rFont val="宋体"/>
        <charset val="134"/>
      </rPr>
      <t>儿童（加收）</t>
    </r>
  </si>
  <si>
    <t>013306010620000</t>
  </si>
  <si>
    <r>
      <rPr>
        <sz val="12"/>
        <rFont val="宋体"/>
        <charset val="134"/>
      </rPr>
      <t>咽喉部血</t>
    </r>
    <r>
      <rPr>
        <sz val="12"/>
        <rFont val="Times New Roman"/>
        <charset val="0"/>
      </rPr>
      <t>/</t>
    </r>
    <r>
      <rPr>
        <sz val="12"/>
        <rFont val="宋体"/>
        <charset val="134"/>
      </rPr>
      <t>脓肿切开引流费</t>
    </r>
  </si>
  <si>
    <r>
      <rPr>
        <sz val="12"/>
        <rFont val="宋体"/>
        <charset val="134"/>
      </rPr>
      <t>通过手术切开引流咽喉部血</t>
    </r>
    <r>
      <rPr>
        <sz val="12"/>
        <rFont val="Times New Roman"/>
        <charset val="0"/>
      </rPr>
      <t>/</t>
    </r>
    <r>
      <rPr>
        <sz val="12"/>
        <rFont val="宋体"/>
        <charset val="134"/>
      </rPr>
      <t>脓肿。</t>
    </r>
  </si>
  <si>
    <t>所定价格涵盖手术计划、术区准备、消毒、切开、引流、冲洗、止血、处理用物等步骤所需的人力资源和基本物质资源消耗。</t>
  </si>
  <si>
    <r>
      <rPr>
        <sz val="12"/>
        <rFont val="宋体"/>
        <charset val="134"/>
      </rPr>
      <t>本项目中的</t>
    </r>
    <r>
      <rPr>
        <sz val="12"/>
        <rFont val="Times New Roman"/>
        <charset val="0"/>
      </rPr>
      <t>“2</t>
    </r>
    <r>
      <rPr>
        <sz val="12"/>
        <rFont val="宋体"/>
        <charset val="134"/>
      </rPr>
      <t>个及以上区域</t>
    </r>
    <r>
      <rPr>
        <sz val="12"/>
        <rFont val="Times New Roman"/>
        <charset val="0"/>
      </rPr>
      <t>”</t>
    </r>
    <r>
      <rPr>
        <sz val="12"/>
        <rFont val="宋体"/>
        <charset val="134"/>
      </rPr>
      <t>指：包括但不限于咽旁、咽后、上纵膈等解剖区域。</t>
    </r>
  </si>
  <si>
    <t>013306010620001</t>
  </si>
  <si>
    <r>
      <rPr>
        <sz val="12"/>
        <rFont val="宋体"/>
        <charset val="134"/>
      </rPr>
      <t>咽喉部血</t>
    </r>
    <r>
      <rPr>
        <sz val="12"/>
        <rFont val="Times New Roman"/>
        <charset val="0"/>
      </rPr>
      <t>/</t>
    </r>
    <r>
      <rPr>
        <sz val="12"/>
        <rFont val="宋体"/>
        <charset val="134"/>
      </rPr>
      <t>脓肿切开引流费</t>
    </r>
    <r>
      <rPr>
        <sz val="12"/>
        <rFont val="Times New Roman"/>
        <charset val="0"/>
      </rPr>
      <t>-</t>
    </r>
    <r>
      <rPr>
        <sz val="12"/>
        <rFont val="宋体"/>
        <charset val="134"/>
      </rPr>
      <t>儿童（加收）</t>
    </r>
  </si>
  <si>
    <t>013306010620011</t>
  </si>
  <si>
    <r>
      <rPr>
        <sz val="12"/>
        <rFont val="宋体"/>
        <charset val="134"/>
      </rPr>
      <t>咽喉部血</t>
    </r>
    <r>
      <rPr>
        <sz val="12"/>
        <rFont val="Times New Roman"/>
        <charset val="0"/>
      </rPr>
      <t>/</t>
    </r>
    <r>
      <rPr>
        <sz val="12"/>
        <rFont val="宋体"/>
        <charset val="134"/>
      </rPr>
      <t>脓肿切开引流费</t>
    </r>
    <r>
      <rPr>
        <sz val="12"/>
        <rFont val="Times New Roman"/>
        <charset val="0"/>
      </rPr>
      <t>-2</t>
    </r>
    <r>
      <rPr>
        <sz val="12"/>
        <rFont val="宋体"/>
        <charset val="134"/>
      </rPr>
      <t>个及以上区域（加收）</t>
    </r>
  </si>
  <si>
    <t>013306010630000</t>
  </si>
  <si>
    <t>环甲膜切开费</t>
  </si>
  <si>
    <t>通过手术切开环甲膜。</t>
  </si>
  <si>
    <t>所定价格涵盖手术计划、术区准备、消毒、切开、分离、置管、固定、处理用物等步骤所需的人力资源和基本物质资源消耗。</t>
  </si>
  <si>
    <t>013306010630001</t>
  </si>
  <si>
    <r>
      <rPr>
        <sz val="12"/>
        <rFont val="宋体"/>
        <charset val="134"/>
      </rPr>
      <t>环甲膜切开费</t>
    </r>
    <r>
      <rPr>
        <sz val="12"/>
        <rFont val="Times New Roman"/>
        <charset val="0"/>
      </rPr>
      <t>-</t>
    </r>
    <r>
      <rPr>
        <sz val="12"/>
        <rFont val="宋体"/>
        <charset val="134"/>
      </rPr>
      <t>儿童（加收）</t>
    </r>
  </si>
  <si>
    <t>013306010640000</t>
  </si>
  <si>
    <t>气管切开费</t>
  </si>
  <si>
    <t>通过手术切开气管。</t>
  </si>
  <si>
    <t>所定价格涵盖手术计划、术区准备、消毒、切开、置管、缝合、处理用物等步骤所需的人力资源和基本物质资源消耗。</t>
  </si>
  <si>
    <t>013306010640001</t>
  </si>
  <si>
    <r>
      <rPr>
        <sz val="12"/>
        <rFont val="宋体"/>
        <charset val="134"/>
      </rPr>
      <t>气管切开费</t>
    </r>
    <r>
      <rPr>
        <sz val="12"/>
        <rFont val="Times New Roman"/>
        <charset val="0"/>
      </rPr>
      <t>-</t>
    </r>
    <r>
      <rPr>
        <sz val="12"/>
        <rFont val="宋体"/>
        <charset val="134"/>
      </rPr>
      <t>儿童（加收）</t>
    </r>
  </si>
  <si>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</si>
  <si>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</si>
  <si>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</si>
  <si>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</si>
  <si>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</si>
  <si>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r>
      <rPr>
        <sz val="12"/>
        <rFont val="宋体"/>
        <charset val="134"/>
      </rPr>
      <t>发音装置安装费</t>
    </r>
    <r>
      <rPr>
        <sz val="12"/>
        <rFont val="Times New Roman"/>
        <charset val="0"/>
      </rPr>
      <t>-</t>
    </r>
    <r>
      <rPr>
        <sz val="12"/>
        <rFont val="宋体"/>
        <charset val="134"/>
      </rPr>
      <t>儿童（加收）</t>
    </r>
  </si>
  <si>
    <t>013306010660000</t>
  </si>
  <si>
    <r>
      <rPr>
        <sz val="12"/>
        <rFont val="宋体"/>
        <charset val="134"/>
      </rPr>
      <t>发音装置取出</t>
    </r>
    <r>
      <rPr>
        <sz val="12"/>
        <rFont val="Times New Roman"/>
        <charset val="0"/>
      </rPr>
      <t>/</t>
    </r>
    <r>
      <rPr>
        <sz val="12"/>
        <rFont val="宋体"/>
        <charset val="134"/>
      </rPr>
      <t>更换费</t>
    </r>
  </si>
  <si>
    <r>
      <rPr>
        <sz val="12"/>
        <rFont val="宋体"/>
        <charset val="134"/>
      </rPr>
      <t>通过手术取出</t>
    </r>
    <r>
      <rPr>
        <sz val="12"/>
        <rFont val="Times New Roman"/>
        <charset val="0"/>
      </rPr>
      <t>/</t>
    </r>
    <r>
      <rPr>
        <sz val="12"/>
        <rFont val="宋体"/>
        <charset val="134"/>
      </rPr>
      <t>更换发音装置。</t>
    </r>
  </si>
  <si>
    <r>
      <rPr>
        <sz val="12"/>
        <rFont val="宋体"/>
        <charset val="134"/>
      </rPr>
      <t>所定价格涵盖手术计划、术区准备、消毒、探查、发音装置取出</t>
    </r>
    <r>
      <rPr>
        <sz val="12"/>
        <rFont val="Times New Roman"/>
        <charset val="0"/>
      </rPr>
      <t>/</t>
    </r>
    <r>
      <rPr>
        <sz val="12"/>
        <rFont val="宋体"/>
        <charset val="134"/>
      </rPr>
      <t>更换、处理用物等步骤所需的人力资源和基本物质资源消耗。</t>
    </r>
  </si>
  <si>
    <t>取出与更换不可同时收费。</t>
  </si>
  <si>
    <t>013306010660001</t>
  </si>
  <si>
    <r>
      <rPr>
        <sz val="12"/>
        <rFont val="宋体"/>
        <charset val="134"/>
      </rPr>
      <t>发音装置取出</t>
    </r>
    <r>
      <rPr>
        <sz val="12"/>
        <rFont val="Times New Roman"/>
        <charset val="0"/>
      </rPr>
      <t>/</t>
    </r>
    <r>
      <rPr>
        <sz val="12"/>
        <rFont val="宋体"/>
        <charset val="134"/>
      </rPr>
      <t>更换费</t>
    </r>
    <r>
      <rPr>
        <sz val="12"/>
        <rFont val="Times New Roman"/>
        <charset val="0"/>
      </rPr>
      <t>-</t>
    </r>
    <r>
      <rPr>
        <sz val="12"/>
        <rFont val="宋体"/>
        <charset val="134"/>
      </rPr>
      <t>儿童（加收）</t>
    </r>
  </si>
  <si>
    <t>012401000010000</t>
  </si>
  <si>
    <t>脑电图检查费</t>
  </si>
  <si>
    <t>通过脑电图仪器采集分析脑电活动。</t>
  </si>
  <si>
    <t>所定价格涵盖设备准备、安装、记录、分析、出具报告等步骤所需的人力资源和基本物质资源消耗。</t>
  </si>
  <si>
    <r>
      <rPr>
        <sz val="12"/>
        <rFont val="Times New Roman"/>
        <charset val="0"/>
      </rPr>
      <t>4</t>
    </r>
    <r>
      <rPr>
        <sz val="12"/>
        <rFont val="宋体"/>
        <charset val="134"/>
      </rPr>
      <t>个小时及以内按一次收费，</t>
    </r>
    <r>
      <rPr>
        <sz val="12"/>
        <rFont val="Times New Roman"/>
        <charset val="0"/>
      </rPr>
      <t>4</t>
    </r>
    <r>
      <rPr>
        <sz val="12"/>
        <rFont val="宋体"/>
        <charset val="134"/>
      </rPr>
      <t>个小时以上每增加</t>
    </r>
    <r>
      <rPr>
        <sz val="12"/>
        <rFont val="Times New Roman"/>
        <charset val="0"/>
      </rPr>
      <t>1</t>
    </r>
    <r>
      <rPr>
        <sz val="12"/>
        <rFont val="宋体"/>
        <charset val="134"/>
      </rPr>
      <t>小时加收</t>
    </r>
    <r>
      <rPr>
        <sz val="12"/>
        <rFont val="Times New Roman"/>
        <charset val="0"/>
      </rPr>
      <t>45</t>
    </r>
    <r>
      <rPr>
        <sz val="12"/>
        <rFont val="宋体"/>
        <charset val="134"/>
      </rPr>
      <t>元。</t>
    </r>
  </si>
  <si>
    <t>神经系统类</t>
  </si>
  <si>
    <t>012401000010001</t>
  </si>
  <si>
    <r>
      <rPr>
        <sz val="12"/>
        <rFont val="宋体"/>
        <charset val="134"/>
      </rPr>
      <t>脑电图检查费</t>
    </r>
    <r>
      <rPr>
        <sz val="12"/>
        <rFont val="Times New Roman"/>
        <charset val="0"/>
      </rPr>
      <t>-</t>
    </r>
    <r>
      <rPr>
        <sz val="12"/>
        <rFont val="宋体"/>
        <charset val="134"/>
      </rPr>
      <t>床旁（加收）</t>
    </r>
  </si>
  <si>
    <t>同一次上机检查，无论时长，仅加收一次。</t>
  </si>
  <si>
    <t>012401000010011</t>
  </si>
  <si>
    <r>
      <rPr>
        <sz val="12"/>
        <rFont val="宋体"/>
        <charset val="134"/>
      </rPr>
      <t>脑电图检查费</t>
    </r>
    <r>
      <rPr>
        <sz val="12"/>
        <rFont val="Times New Roman"/>
        <charset val="0"/>
      </rPr>
      <t>-</t>
    </r>
    <r>
      <rPr>
        <sz val="12"/>
        <rFont val="宋体"/>
        <charset val="134"/>
      </rPr>
      <t>特殊电极脑电图检查（加收）</t>
    </r>
  </si>
  <si>
    <r>
      <rPr>
        <sz val="12"/>
        <rFont val="Times New Roman"/>
        <charset val="0"/>
      </rPr>
      <t>“</t>
    </r>
    <r>
      <rPr>
        <sz val="12"/>
        <rFont val="宋体"/>
        <charset val="134"/>
      </rPr>
      <t>特殊电极脑电图检查</t>
    </r>
    <r>
      <rPr>
        <sz val="12"/>
        <rFont val="Times New Roman"/>
        <charset val="0"/>
      </rPr>
      <t>”</t>
    </r>
    <r>
      <rPr>
        <sz val="12"/>
        <rFont val="宋体"/>
        <charset val="134"/>
      </rPr>
      <t>指：使用鼻咽、蝶骨、皮层特殊电极进行脑电图检查。</t>
    </r>
  </si>
  <si>
    <t>012401000010021</t>
  </si>
  <si>
    <r>
      <rPr>
        <sz val="12"/>
        <rFont val="宋体"/>
        <charset val="134"/>
      </rPr>
      <t>脑电图检查费</t>
    </r>
    <r>
      <rPr>
        <sz val="12"/>
        <rFont val="Times New Roman"/>
        <charset val="0"/>
      </rPr>
      <t>-</t>
    </r>
    <r>
      <rPr>
        <sz val="12"/>
        <rFont val="宋体"/>
        <charset val="134"/>
      </rPr>
      <t>特殊诱发脑电图检查（加收）</t>
    </r>
  </si>
  <si>
    <r>
      <rPr>
        <sz val="12"/>
        <rFont val="Times New Roman"/>
        <charset val="0"/>
      </rPr>
      <t>“</t>
    </r>
    <r>
      <rPr>
        <sz val="12"/>
        <rFont val="宋体"/>
        <charset val="134"/>
      </rPr>
      <t>特殊诱发脑电图检查</t>
    </r>
    <r>
      <rPr>
        <sz val="12"/>
        <rFont val="Times New Roman"/>
        <charset val="0"/>
      </rPr>
      <t>”</t>
    </r>
    <r>
      <rPr>
        <sz val="12"/>
        <rFont val="宋体"/>
        <charset val="134"/>
      </rPr>
      <t>指：光、电等特殊诱发后进行脑电图检查。</t>
    </r>
  </si>
  <si>
    <t>012401000010031</t>
  </si>
  <si>
    <r>
      <rPr>
        <sz val="12"/>
        <rFont val="宋体"/>
        <charset val="134"/>
      </rPr>
      <t>脑电图检查费</t>
    </r>
    <r>
      <rPr>
        <sz val="12"/>
        <rFont val="Times New Roman"/>
        <charset val="0"/>
      </rPr>
      <t>-</t>
    </r>
    <r>
      <rPr>
        <sz val="12"/>
        <rFont val="宋体"/>
        <charset val="134"/>
      </rPr>
      <t>高密度脑电图检查（加收）</t>
    </r>
  </si>
  <si>
    <r>
      <rPr>
        <sz val="12"/>
        <rFont val="Times New Roman"/>
        <charset val="0"/>
      </rPr>
      <t>1.“</t>
    </r>
    <r>
      <rPr>
        <sz val="12"/>
        <rFont val="宋体"/>
        <charset val="134"/>
      </rPr>
      <t>高密度脑电图</t>
    </r>
    <r>
      <rPr>
        <sz val="12"/>
        <rFont val="Times New Roman"/>
        <charset val="0"/>
      </rPr>
      <t>”</t>
    </r>
    <r>
      <rPr>
        <sz val="12"/>
        <rFont val="宋体"/>
        <charset val="134"/>
      </rPr>
      <t>指：</t>
    </r>
    <r>
      <rPr>
        <sz val="12"/>
        <rFont val="Times New Roman"/>
        <charset val="0"/>
      </rPr>
      <t>128</t>
    </r>
    <r>
      <rPr>
        <sz val="12"/>
        <rFont val="宋体"/>
        <charset val="134"/>
      </rPr>
      <t>导联及以上脑电图。</t>
    </r>
    <r>
      <rPr>
        <sz val="12"/>
        <rFont val="Times New Roman"/>
        <charset val="0"/>
      </rPr>
      <t xml:space="preserve">
2.4</t>
    </r>
    <r>
      <rPr>
        <sz val="12"/>
        <rFont val="宋体"/>
        <charset val="134"/>
      </rPr>
      <t>个小时及以内按一次收费，</t>
    </r>
    <r>
      <rPr>
        <sz val="12"/>
        <rFont val="Times New Roman"/>
        <charset val="0"/>
      </rPr>
      <t>4</t>
    </r>
    <r>
      <rPr>
        <sz val="12"/>
        <rFont val="宋体"/>
        <charset val="134"/>
      </rPr>
      <t>个小时以上每增加</t>
    </r>
    <r>
      <rPr>
        <sz val="12"/>
        <rFont val="Times New Roman"/>
        <charset val="0"/>
      </rPr>
      <t>1</t>
    </r>
    <r>
      <rPr>
        <sz val="12"/>
        <rFont val="宋体"/>
        <charset val="134"/>
      </rPr>
      <t>小时加收</t>
    </r>
    <r>
      <rPr>
        <sz val="12"/>
        <rFont val="Times New Roman"/>
        <charset val="0"/>
      </rPr>
      <t>20</t>
    </r>
    <r>
      <rPr>
        <sz val="12"/>
        <rFont val="方正书宋_GBK"/>
        <charset val="134"/>
      </rPr>
      <t>元</t>
    </r>
    <r>
      <rPr>
        <sz val="12"/>
        <rFont val="宋体"/>
        <charset val="134"/>
      </rPr>
      <t>。</t>
    </r>
  </si>
  <si>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</si>
  <si>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</si>
  <si>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</si>
  <si>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</si>
  <si>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</si>
  <si>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</si>
  <si>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</si>
  <si>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</si>
  <si>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r>
      <rPr>
        <sz val="12"/>
        <rFont val="宋体"/>
        <charset val="134"/>
      </rPr>
      <t>次指</t>
    </r>
    <r>
      <rPr>
        <sz val="12"/>
        <rFont val="Times New Roman"/>
        <charset val="0"/>
      </rPr>
      <t>1</t>
    </r>
    <r>
      <rPr>
        <sz val="12"/>
        <rFont val="宋体"/>
        <charset val="134"/>
      </rPr>
      <t>条肌肉，每增加</t>
    </r>
    <r>
      <rPr>
        <sz val="12"/>
        <rFont val="Times New Roman"/>
        <charset val="0"/>
      </rPr>
      <t>1</t>
    </r>
    <r>
      <rPr>
        <sz val="12"/>
        <rFont val="宋体"/>
        <charset val="134"/>
      </rPr>
      <t>条肌肉按</t>
    </r>
    <r>
      <rPr>
        <sz val="12"/>
        <rFont val="Times New Roman"/>
        <charset val="0"/>
      </rPr>
      <t>100%</t>
    </r>
    <r>
      <rPr>
        <sz val="12"/>
        <rFont val="宋体"/>
        <charset val="134"/>
      </rPr>
      <t>加收，以</t>
    </r>
    <r>
      <rPr>
        <sz val="12"/>
        <rFont val="Times New Roman"/>
        <charset val="0"/>
      </rPr>
      <t>12</t>
    </r>
    <r>
      <rPr>
        <sz val="12"/>
        <rFont val="宋体"/>
        <charset val="134"/>
      </rPr>
      <t>条肌肉费用设置封顶线。</t>
    </r>
  </si>
  <si>
    <t>012401000030001</t>
  </si>
  <si>
    <r>
      <rPr>
        <sz val="12"/>
        <rFont val="宋体"/>
        <charset val="134"/>
      </rPr>
      <t>针极肌电图检查费</t>
    </r>
    <r>
      <rPr>
        <sz val="12"/>
        <rFont val="Times New Roman"/>
        <charset val="0"/>
      </rPr>
      <t>-</t>
    </r>
    <r>
      <rPr>
        <sz val="12"/>
        <rFont val="宋体"/>
        <charset val="134"/>
      </rPr>
      <t>床旁（加收）</t>
    </r>
  </si>
  <si>
    <t>同一次检查，无论多少条肌肉，仅加收一次。</t>
  </si>
  <si>
    <t>012401000030011</t>
  </si>
  <si>
    <r>
      <rPr>
        <sz val="12"/>
        <rFont val="宋体"/>
        <charset val="134"/>
      </rPr>
      <t>针极肌电图检查费</t>
    </r>
    <r>
      <rPr>
        <sz val="12"/>
        <rFont val="Times New Roman"/>
        <charset val="0"/>
      </rPr>
      <t>-</t>
    </r>
    <r>
      <rPr>
        <sz val="12"/>
        <rFont val="宋体"/>
        <charset val="134"/>
      </rPr>
      <t>单纤维检查（加收）</t>
    </r>
  </si>
  <si>
    <t>012401000030021</t>
  </si>
  <si>
    <r>
      <rPr>
        <sz val="12"/>
        <rFont val="宋体"/>
        <charset val="134"/>
      </rPr>
      <t>针极肌电图检查费</t>
    </r>
    <r>
      <rPr>
        <sz val="12"/>
        <rFont val="Times New Roman"/>
        <charset val="0"/>
      </rPr>
      <t>-</t>
    </r>
    <r>
      <rPr>
        <sz val="12"/>
        <rFont val="宋体"/>
        <charset val="134"/>
      </rPr>
      <t>震颤分析（加收）</t>
    </r>
  </si>
  <si>
    <t>震颤分析按单侧（头部左右侧、单肢）收费。</t>
  </si>
  <si>
    <t>012401000040000</t>
  </si>
  <si>
    <t>神经传导速度测定费</t>
  </si>
  <si>
    <t>通过仪器对感觉神经或混合神经进行测量。</t>
  </si>
  <si>
    <t>所定价格涵盖设备准备、安装、刺激、分析、出具报告等步骤所需的人力资源和基本物质资源消耗。</t>
  </si>
  <si>
    <t>012401000040001</t>
  </si>
  <si>
    <r>
      <rPr>
        <sz val="12"/>
        <rFont val="宋体"/>
        <charset val="134"/>
      </rPr>
      <t>神经传导速度测定费</t>
    </r>
    <r>
      <rPr>
        <sz val="12"/>
        <rFont val="Times New Roman"/>
        <charset val="0"/>
      </rPr>
      <t>-</t>
    </r>
    <r>
      <rPr>
        <sz val="12"/>
        <rFont val="宋体"/>
        <charset val="134"/>
      </rPr>
      <t>床旁（加收）</t>
    </r>
  </si>
  <si>
    <t>同一次检查，无论多少根神经，仅加收一次。</t>
  </si>
  <si>
    <t>012401000040011</t>
  </si>
  <si>
    <r>
      <rPr>
        <sz val="12"/>
        <rFont val="宋体"/>
        <charset val="134"/>
      </rPr>
      <t>神经传导速度测定费</t>
    </r>
    <r>
      <rPr>
        <sz val="12"/>
        <rFont val="Times New Roman"/>
        <charset val="0"/>
      </rPr>
      <t>-</t>
    </r>
    <r>
      <rPr>
        <sz val="12"/>
        <rFont val="宋体"/>
        <charset val="134"/>
      </rPr>
      <t>长时程运动诱发试验（加收）</t>
    </r>
  </si>
  <si>
    <t>长时程运动诱发试验按次收费。</t>
  </si>
  <si>
    <t>012401000040021</t>
  </si>
  <si>
    <r>
      <rPr>
        <sz val="12"/>
        <rFont val="宋体"/>
        <charset val="134"/>
      </rPr>
      <t>神经传导速度测定费</t>
    </r>
    <r>
      <rPr>
        <sz val="12"/>
        <rFont val="Times New Roman"/>
        <charset val="0"/>
      </rPr>
      <t>-</t>
    </r>
    <r>
      <rPr>
        <sz val="12"/>
        <rFont val="宋体"/>
        <charset val="134"/>
      </rPr>
      <t>寸移运动神经传导测定（加收）</t>
    </r>
  </si>
  <si>
    <t>012401000050000</t>
  </si>
  <si>
    <t>神经电图费</t>
  </si>
  <si>
    <r>
      <rPr>
        <sz val="12"/>
        <rFont val="宋体"/>
        <charset val="134"/>
      </rPr>
      <t>通过仪器刺激周围神经，评定</t>
    </r>
    <r>
      <rPr>
        <sz val="12"/>
        <rFont val="Times New Roman"/>
        <charset val="0"/>
      </rPr>
      <t>H</t>
    </r>
    <r>
      <rPr>
        <sz val="12"/>
        <rFont val="宋体"/>
        <charset val="134"/>
      </rPr>
      <t>反射、</t>
    </r>
    <r>
      <rPr>
        <sz val="12"/>
        <rFont val="Times New Roman"/>
        <charset val="0"/>
      </rPr>
      <t>F</t>
    </r>
    <r>
      <rPr>
        <sz val="12"/>
        <rFont val="宋体"/>
        <charset val="134"/>
      </rPr>
      <t>波、瞬目反射以及重复神经电刺激等周围神经功能。</t>
    </r>
  </si>
  <si>
    <t>所定价格涵盖设备准备、安装、刺激、记录、分析、出具报告等步骤所需的人力资源和基本物质资源消耗。</t>
  </si>
  <si>
    <t>012401000050001</t>
  </si>
  <si>
    <r>
      <rPr>
        <sz val="12"/>
        <rFont val="宋体"/>
        <charset val="134"/>
      </rPr>
      <t>神经电图费</t>
    </r>
    <r>
      <rPr>
        <sz val="12"/>
        <rFont val="Times New Roman"/>
        <charset val="0"/>
      </rPr>
      <t>-</t>
    </r>
    <r>
      <rPr>
        <sz val="12"/>
        <rFont val="宋体"/>
        <charset val="134"/>
      </rPr>
      <t>床旁（加收）</t>
    </r>
  </si>
  <si>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</si>
  <si>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</si>
  <si>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</si>
  <si>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</si>
  <si>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</si>
  <si>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</si>
  <si>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</si>
  <si>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r>
      <rPr>
        <sz val="12"/>
        <rFont val="宋体"/>
        <charset val="134"/>
      </rPr>
      <t>以</t>
    </r>
    <r>
      <rPr>
        <sz val="12"/>
        <rFont val="Times New Roman"/>
        <charset val="0"/>
      </rPr>
      <t>3</t>
    </r>
    <r>
      <rPr>
        <sz val="12"/>
        <rFont val="宋体"/>
        <charset val="134"/>
      </rPr>
      <t>项费用设置封顶线。</t>
    </r>
  </si>
  <si>
    <t>012401000080000</t>
  </si>
  <si>
    <t>脑干听觉诱发电位费</t>
  </si>
  <si>
    <t>通过仪器测定主观听阈和双侧听觉诱发电位，评定听觉传导通路功能。</t>
  </si>
  <si>
    <r>
      <rPr>
        <sz val="12"/>
        <rFont val="宋体"/>
        <charset val="134"/>
      </rPr>
      <t>不与耳鼻喉科立项指南中的</t>
    </r>
    <r>
      <rPr>
        <sz val="12"/>
        <rFont val="Times New Roman"/>
        <charset val="0"/>
      </rPr>
      <t>“</t>
    </r>
    <r>
      <rPr>
        <sz val="12"/>
        <rFont val="宋体"/>
        <charset val="134"/>
      </rPr>
      <t>听阈检查费</t>
    </r>
    <r>
      <rPr>
        <sz val="12"/>
        <rFont val="Times New Roman"/>
        <charset val="0"/>
      </rPr>
      <t>”</t>
    </r>
    <r>
      <rPr>
        <sz val="12"/>
        <rFont val="宋体"/>
        <charset val="134"/>
      </rPr>
      <t>同时收取。</t>
    </r>
  </si>
  <si>
    <t>012401000080001</t>
  </si>
  <si>
    <r>
      <rPr>
        <sz val="12"/>
        <rFont val="宋体"/>
        <charset val="134"/>
      </rPr>
      <t>脑干听觉诱发电位费</t>
    </r>
    <r>
      <rPr>
        <sz val="12"/>
        <rFont val="Times New Roman"/>
        <charset val="0"/>
      </rPr>
      <t>-</t>
    </r>
    <r>
      <rPr>
        <sz val="12"/>
        <rFont val="宋体"/>
        <charset val="134"/>
      </rPr>
      <t>床旁（加收）</t>
    </r>
  </si>
  <si>
    <t>012401000090000</t>
  </si>
  <si>
    <t>体感诱发电位费</t>
  </si>
  <si>
    <t>通过刺激体感通路采集分析诱发电位。</t>
  </si>
  <si>
    <t>单肢</t>
  </si>
  <si>
    <t>012401000090001</t>
  </si>
  <si>
    <r>
      <rPr>
        <sz val="12"/>
        <rFont val="宋体"/>
        <charset val="134"/>
      </rPr>
      <t>体感诱发电位费</t>
    </r>
    <r>
      <rPr>
        <sz val="12"/>
        <rFont val="Times New Roman"/>
        <charset val="0"/>
      </rPr>
      <t>-</t>
    </r>
    <r>
      <rPr>
        <sz val="12"/>
        <rFont val="宋体"/>
        <charset val="134"/>
      </rPr>
      <t>床旁（加收）</t>
    </r>
  </si>
  <si>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</si>
  <si>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</si>
  <si>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</si>
  <si>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</si>
  <si>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</si>
  <si>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</si>
  <si>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r>
      <rPr>
        <sz val="12"/>
        <rFont val="宋体"/>
        <charset val="134"/>
      </rPr>
      <t>不与呼吸系统类立项指南中的</t>
    </r>
    <r>
      <rPr>
        <sz val="12"/>
        <rFont val="Times New Roman"/>
        <charset val="0"/>
      </rPr>
      <t>“</t>
    </r>
    <r>
      <rPr>
        <sz val="12"/>
        <rFont val="宋体"/>
        <charset val="134"/>
      </rPr>
      <t>睡眠呼吸监测费</t>
    </r>
    <r>
      <rPr>
        <sz val="12"/>
        <rFont val="Times New Roman"/>
        <charset val="0"/>
      </rPr>
      <t>”</t>
    </r>
    <r>
      <rPr>
        <sz val="12"/>
        <rFont val="宋体"/>
        <charset val="134"/>
      </rPr>
      <t>同时收取。</t>
    </r>
  </si>
  <si>
    <t>012401000110001</t>
  </si>
  <si>
    <r>
      <rPr>
        <sz val="12"/>
        <rFont val="宋体"/>
        <charset val="134"/>
      </rPr>
      <t>睡眠神经多导监测费</t>
    </r>
    <r>
      <rPr>
        <sz val="12"/>
        <rFont val="Times New Roman"/>
        <charset val="0"/>
      </rPr>
      <t>-</t>
    </r>
    <r>
      <rPr>
        <sz val="12"/>
        <rFont val="宋体"/>
        <charset val="134"/>
      </rPr>
      <t>便携睡眠神经多导监测（减收）</t>
    </r>
  </si>
  <si>
    <t>012401000120000</t>
  </si>
  <si>
    <t>颅内压监测费（有创）</t>
  </si>
  <si>
    <t>通过有创方式监测颅内压变化。</t>
  </si>
  <si>
    <t>所定价格涵盖摆位、设备准备、安装、监测、记录、分析等步骤所需的人力资源和基本物质资源消耗。</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</si>
  <si>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</si>
  <si>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</si>
  <si>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</si>
  <si>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</si>
  <si>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</si>
  <si>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</si>
  <si>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</si>
  <si>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r>
      <rPr>
        <sz val="12"/>
        <rFont val="宋体"/>
        <charset val="134"/>
      </rPr>
      <t>次指</t>
    </r>
    <r>
      <rPr>
        <sz val="12"/>
        <rFont val="Times New Roman"/>
        <charset val="0"/>
      </rPr>
      <t>3</t>
    </r>
    <r>
      <rPr>
        <sz val="12"/>
        <rFont val="宋体"/>
        <charset val="134"/>
      </rPr>
      <t>根及以下血管，超过</t>
    </r>
    <r>
      <rPr>
        <sz val="12"/>
        <rFont val="Times New Roman"/>
        <charset val="0"/>
      </rPr>
      <t>3</t>
    </r>
    <r>
      <rPr>
        <sz val="12"/>
        <rFont val="宋体"/>
        <charset val="134"/>
      </rPr>
      <t>根血管，每增加</t>
    </r>
    <r>
      <rPr>
        <sz val="12"/>
        <rFont val="Times New Roman"/>
        <charset val="0"/>
      </rPr>
      <t>1</t>
    </r>
    <r>
      <rPr>
        <sz val="12"/>
        <rFont val="宋体"/>
        <charset val="134"/>
      </rPr>
      <t>根血管按</t>
    </r>
    <r>
      <rPr>
        <sz val="12"/>
        <rFont val="Times New Roman"/>
        <charset val="0"/>
      </rPr>
      <t>2%</t>
    </r>
    <r>
      <rPr>
        <sz val="12"/>
        <rFont val="宋体"/>
        <charset val="134"/>
      </rPr>
      <t>加收。以</t>
    </r>
    <r>
      <rPr>
        <sz val="12"/>
        <rFont val="Times New Roman"/>
        <charset val="0"/>
      </rPr>
      <t>8</t>
    </r>
    <r>
      <rPr>
        <sz val="12"/>
        <rFont val="宋体"/>
        <charset val="134"/>
      </rPr>
      <t>根血管费用设置封顶线。</t>
    </r>
  </si>
  <si>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</si>
  <si>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</si>
  <si>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</si>
  <si>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</si>
  <si>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r>
      <rPr>
        <sz val="12"/>
        <rFont val="宋体"/>
        <charset val="134"/>
      </rPr>
      <t>次指</t>
    </r>
    <r>
      <rPr>
        <sz val="12"/>
        <rFont val="Times New Roman"/>
        <charset val="0"/>
      </rPr>
      <t>4</t>
    </r>
    <r>
      <rPr>
        <sz val="12"/>
        <rFont val="宋体"/>
        <charset val="134"/>
      </rPr>
      <t>根及以下血管，超过</t>
    </r>
    <r>
      <rPr>
        <sz val="12"/>
        <rFont val="Times New Roman"/>
        <charset val="0"/>
      </rPr>
      <t>4</t>
    </r>
    <r>
      <rPr>
        <sz val="12"/>
        <rFont val="宋体"/>
        <charset val="134"/>
      </rPr>
      <t>根血管，每增加</t>
    </r>
    <r>
      <rPr>
        <sz val="12"/>
        <rFont val="Times New Roman"/>
        <charset val="0"/>
      </rPr>
      <t>1</t>
    </r>
    <r>
      <rPr>
        <sz val="12"/>
        <rFont val="宋体"/>
        <charset val="134"/>
      </rPr>
      <t>根血管按</t>
    </r>
    <r>
      <rPr>
        <sz val="12"/>
        <rFont val="Times New Roman"/>
        <charset val="0"/>
      </rPr>
      <t>2%</t>
    </r>
    <r>
      <rPr>
        <sz val="12"/>
        <rFont val="宋体"/>
        <charset val="134"/>
      </rPr>
      <t>进行加收。以</t>
    </r>
    <r>
      <rPr>
        <sz val="12"/>
        <rFont val="Times New Roman"/>
        <charset val="0"/>
      </rPr>
      <t>12</t>
    </r>
    <r>
      <rPr>
        <sz val="12"/>
        <rFont val="宋体"/>
        <charset val="134"/>
      </rPr>
      <t>根血管费用设置封顶线。</t>
    </r>
  </si>
  <si>
    <t>013101000020000</t>
  </si>
  <si>
    <t>无创神经刺激治疗费</t>
  </si>
  <si>
    <r>
      <rPr>
        <sz val="12"/>
        <rFont val="宋体"/>
        <charset val="134"/>
      </rPr>
      <t>通过仪器经颅电</t>
    </r>
    <r>
      <rPr>
        <sz val="12"/>
        <rFont val="Times New Roman"/>
        <charset val="0"/>
      </rPr>
      <t>/</t>
    </r>
    <r>
      <rPr>
        <sz val="12"/>
        <rFont val="宋体"/>
        <charset val="134"/>
      </rPr>
      <t>磁刺激神经系统的相关部位。</t>
    </r>
  </si>
  <si>
    <r>
      <rPr>
        <sz val="12"/>
        <rFont val="宋体"/>
        <charset val="134"/>
      </rPr>
      <t>所定价格涵盖连接电极、设置参数、电</t>
    </r>
    <r>
      <rPr>
        <sz val="12"/>
        <rFont val="Times New Roman"/>
        <charset val="0"/>
      </rPr>
      <t>/</t>
    </r>
    <r>
      <rPr>
        <sz val="12"/>
        <rFont val="宋体"/>
        <charset val="0"/>
      </rPr>
      <t>磁刺激治疗等步骤所需的人力资源和基本物质资源消耗。</t>
    </r>
  </si>
  <si>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</si>
  <si>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</si>
  <si>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</si>
  <si>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</si>
  <si>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血管</t>
  </si>
  <si>
    <r>
      <rPr>
        <sz val="12"/>
        <rFont val="Times New Roman"/>
        <charset val="0"/>
      </rPr>
      <t>1.</t>
    </r>
    <r>
      <rPr>
        <sz val="12"/>
        <rFont val="宋体"/>
        <charset val="134"/>
      </rPr>
      <t>同一血管扩张颅内和颅外多处狭窄的按</t>
    </r>
    <r>
      <rPr>
        <sz val="12"/>
        <rFont val="Times New Roman"/>
        <charset val="0"/>
      </rPr>
      <t>2</t>
    </r>
    <r>
      <rPr>
        <sz val="12"/>
        <rFont val="宋体"/>
        <charset val="134"/>
      </rPr>
      <t>根血管计价，颅内部分适用颅内血管加收。</t>
    </r>
    <r>
      <rPr>
        <sz val="12"/>
        <rFont val="Times New Roman"/>
        <charset val="0"/>
      </rPr>
      <t xml:space="preserve">
2.</t>
    </r>
    <r>
      <rPr>
        <sz val="12"/>
        <rFont val="宋体"/>
        <charset val="134"/>
      </rPr>
      <t>脑静脉窦扩张适用颅内血管加收。</t>
    </r>
    <r>
      <rPr>
        <sz val="12"/>
        <rFont val="Times New Roman"/>
        <charset val="0"/>
      </rPr>
      <t xml:space="preserve">
3.</t>
    </r>
    <r>
      <rPr>
        <sz val="12"/>
        <rFont val="宋体"/>
        <charset val="134"/>
      </rPr>
      <t>脑血管治疗后立即行造影确认治疗效果的，不得重复收取脑血管造影费用。</t>
    </r>
  </si>
  <si>
    <t>013302000030001</t>
  </si>
  <si>
    <r>
      <rPr>
        <sz val="12"/>
        <rFont val="宋体"/>
        <charset val="134"/>
      </rPr>
      <t>脑血管球囊扩张费（介入）</t>
    </r>
    <r>
      <rPr>
        <sz val="12"/>
        <rFont val="Times New Roman"/>
        <charset val="0"/>
      </rPr>
      <t>-</t>
    </r>
    <r>
      <rPr>
        <sz val="12"/>
        <rFont val="宋体"/>
        <charset val="134"/>
      </rPr>
      <t>儿童（加收）</t>
    </r>
  </si>
  <si>
    <t>013302000030011</t>
  </si>
  <si>
    <r>
      <rPr>
        <sz val="12"/>
        <rFont val="宋体"/>
        <charset val="134"/>
      </rPr>
      <t>脑血管球囊扩张费（介入）</t>
    </r>
    <r>
      <rPr>
        <sz val="12"/>
        <rFont val="Times New Roman"/>
        <charset val="0"/>
      </rPr>
      <t>-</t>
    </r>
    <r>
      <rPr>
        <sz val="12"/>
        <rFont val="宋体"/>
        <charset val="134"/>
      </rPr>
      <t>颅内血管（加收）</t>
    </r>
  </si>
  <si>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</si>
  <si>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</si>
  <si>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</si>
  <si>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</si>
  <si>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r>
      <rPr>
        <sz val="12"/>
        <rFont val="Times New Roman"/>
        <charset val="0"/>
      </rPr>
      <t>1.</t>
    </r>
    <r>
      <rPr>
        <sz val="12"/>
        <rFont val="宋体"/>
        <charset val="134"/>
      </rPr>
      <t>同一血管扩张颅内和颅外多处狭窄的按</t>
    </r>
    <r>
      <rPr>
        <sz val="12"/>
        <rFont val="Times New Roman"/>
        <charset val="0"/>
      </rPr>
      <t>2</t>
    </r>
    <r>
      <rPr>
        <sz val="12"/>
        <rFont val="宋体"/>
        <charset val="134"/>
      </rPr>
      <t>根血管计价，颅内部分适用颅内血管加收。</t>
    </r>
    <r>
      <rPr>
        <sz val="12"/>
        <rFont val="Times New Roman"/>
        <charset val="0"/>
      </rPr>
      <t xml:space="preserve">
2.</t>
    </r>
    <r>
      <rPr>
        <sz val="12"/>
        <rFont val="宋体"/>
        <charset val="134"/>
      </rPr>
      <t>同一病变部位不与球囊扩张同时收取。</t>
    </r>
    <r>
      <rPr>
        <sz val="12"/>
        <rFont val="Times New Roman"/>
        <charset val="0"/>
      </rPr>
      <t xml:space="preserve">
3.</t>
    </r>
    <r>
      <rPr>
        <sz val="12"/>
        <rFont val="宋体"/>
        <charset val="134"/>
      </rPr>
      <t>脑静脉窦支架置入适用颅内血管加收。</t>
    </r>
    <r>
      <rPr>
        <sz val="12"/>
        <rFont val="Times New Roman"/>
        <charset val="0"/>
      </rPr>
      <t xml:space="preserve">
4.</t>
    </r>
    <r>
      <rPr>
        <sz val="12"/>
        <rFont val="宋体"/>
        <charset val="134"/>
      </rPr>
      <t>脑血管治疗后立即行造影确认治疗效果的，不得重复收取脑血管造影费用。</t>
    </r>
  </si>
  <si>
    <t>013302000040001</t>
  </si>
  <si>
    <r>
      <rPr>
        <sz val="12"/>
        <rFont val="宋体"/>
        <charset val="134"/>
      </rPr>
      <t>脑血管支架置入费（介入）</t>
    </r>
    <r>
      <rPr>
        <sz val="12"/>
        <rFont val="Times New Roman"/>
        <charset val="0"/>
      </rPr>
      <t>-</t>
    </r>
    <r>
      <rPr>
        <sz val="12"/>
        <rFont val="宋体"/>
        <charset val="134"/>
      </rPr>
      <t>儿童（加收）</t>
    </r>
  </si>
  <si>
    <t>013302000040011</t>
  </si>
  <si>
    <r>
      <rPr>
        <sz val="12"/>
        <rFont val="宋体"/>
        <charset val="134"/>
      </rPr>
      <t>脑血管支架置入费（介入）</t>
    </r>
    <r>
      <rPr>
        <sz val="12"/>
        <rFont val="Times New Roman"/>
        <charset val="0"/>
      </rPr>
      <t>-</t>
    </r>
    <r>
      <rPr>
        <sz val="12"/>
        <rFont val="宋体"/>
        <charset val="134"/>
      </rPr>
      <t>颅内血管（加收）</t>
    </r>
  </si>
  <si>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</si>
  <si>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</si>
  <si>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</si>
  <si>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</si>
  <si>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013302000050001</t>
  </si>
  <si>
    <r>
      <rPr>
        <sz val="12"/>
        <rFont val="宋体"/>
        <charset val="134"/>
      </rPr>
      <t>慢性闭塞脑血管逆向再通费（介入）</t>
    </r>
    <r>
      <rPr>
        <sz val="12"/>
        <rFont val="Times New Roman"/>
        <charset val="0"/>
      </rPr>
      <t>-</t>
    </r>
    <r>
      <rPr>
        <sz val="12"/>
        <rFont val="宋体"/>
        <charset val="134"/>
      </rPr>
      <t>儿童（加收）</t>
    </r>
  </si>
  <si>
    <t>013302000050011</t>
  </si>
  <si>
    <r>
      <rPr>
        <sz val="12"/>
        <rFont val="宋体"/>
        <charset val="134"/>
      </rPr>
      <t>慢性闭塞脑血管逆向再通费（介入）</t>
    </r>
    <r>
      <rPr>
        <sz val="12"/>
        <rFont val="Times New Roman"/>
        <charset val="0"/>
      </rPr>
      <t>-</t>
    </r>
    <r>
      <rPr>
        <sz val="12"/>
        <rFont val="宋体"/>
        <charset val="134"/>
      </rPr>
      <t>颅内血管（加收）</t>
    </r>
  </si>
  <si>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</si>
  <si>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</si>
  <si>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</si>
  <si>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</si>
  <si>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</si>
  <si>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r>
      <rPr>
        <sz val="12"/>
        <rFont val="宋体"/>
        <charset val="134"/>
      </rPr>
      <t>脑血管腔内减容费（介入）</t>
    </r>
    <r>
      <rPr>
        <sz val="12"/>
        <rFont val="Times New Roman"/>
        <charset val="0"/>
      </rPr>
      <t>-</t>
    </r>
    <r>
      <rPr>
        <sz val="12"/>
        <rFont val="宋体"/>
        <charset val="134"/>
      </rPr>
      <t>儿童（加收）</t>
    </r>
  </si>
  <si>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</si>
  <si>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</si>
  <si>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</si>
  <si>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</si>
  <si>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013302000070001</t>
  </si>
  <si>
    <r>
      <rPr>
        <sz val="12"/>
        <rFont val="宋体"/>
        <charset val="134"/>
      </rPr>
      <t>脑血管腔内溶栓费（介入）</t>
    </r>
    <r>
      <rPr>
        <sz val="12"/>
        <rFont val="Times New Roman"/>
        <charset val="0"/>
      </rPr>
      <t>-</t>
    </r>
    <r>
      <rPr>
        <sz val="12"/>
        <rFont val="宋体"/>
        <charset val="134"/>
      </rPr>
      <t>儿童（加收）</t>
    </r>
  </si>
  <si>
    <t>013302000070100</t>
  </si>
  <si>
    <r>
      <rPr>
        <sz val="12"/>
        <rFont val="宋体"/>
        <charset val="134"/>
      </rPr>
      <t>脑血管腔内溶栓费（介入）</t>
    </r>
    <r>
      <rPr>
        <sz val="12"/>
        <rFont val="Times New Roman"/>
        <charset val="0"/>
      </rPr>
      <t>-</t>
    </r>
    <r>
      <rPr>
        <sz val="12"/>
        <rFont val="宋体"/>
        <charset val="134"/>
      </rPr>
      <t>脑血管腔内化疗费（扩展）</t>
    </r>
  </si>
  <si>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</si>
  <si>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</si>
  <si>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</si>
  <si>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</si>
  <si>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013302000080001</t>
  </si>
  <si>
    <r>
      <rPr>
        <sz val="12"/>
        <rFont val="宋体"/>
        <charset val="134"/>
      </rPr>
      <t>脑血管栓塞费（介入）</t>
    </r>
    <r>
      <rPr>
        <sz val="12"/>
        <rFont val="Times New Roman"/>
        <charset val="0"/>
      </rPr>
      <t>-</t>
    </r>
    <r>
      <rPr>
        <sz val="12"/>
        <rFont val="宋体"/>
        <charset val="134"/>
      </rPr>
      <t>儿童（加收）</t>
    </r>
  </si>
  <si>
    <t>013302000080011</t>
  </si>
  <si>
    <r>
      <rPr>
        <sz val="12"/>
        <rFont val="宋体"/>
        <charset val="134"/>
      </rPr>
      <t>脑血管栓塞费（介入）</t>
    </r>
    <r>
      <rPr>
        <sz val="12"/>
        <rFont val="Times New Roman"/>
        <charset val="0"/>
      </rPr>
      <t>-</t>
    </r>
    <r>
      <rPr>
        <sz val="12"/>
        <rFont val="宋体"/>
        <charset val="134"/>
      </rPr>
      <t>脑血管畸形栓塞（加收）</t>
    </r>
  </si>
  <si>
    <t>013302000090000</t>
  </si>
  <si>
    <t>颅内动脉瘤栓塞费（介入）</t>
  </si>
  <si>
    <t>通过介入方式将栓塞物质导入颅内动脉瘤。</t>
  </si>
  <si>
    <t>013302000090001</t>
  </si>
  <si>
    <r>
      <rPr>
        <sz val="12"/>
        <rFont val="宋体"/>
        <charset val="134"/>
      </rPr>
      <t>颅内动脉瘤栓塞费（介入）</t>
    </r>
    <r>
      <rPr>
        <sz val="12"/>
        <rFont val="Times New Roman"/>
        <charset val="0"/>
      </rPr>
      <t>-</t>
    </r>
    <r>
      <rPr>
        <sz val="12"/>
        <rFont val="宋体"/>
        <charset val="134"/>
      </rPr>
      <t>儿童（加收）</t>
    </r>
  </si>
  <si>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</si>
  <si>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</si>
  <si>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</si>
  <si>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</si>
  <si>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013302000100001</t>
  </si>
  <si>
    <r>
      <rPr>
        <sz val="12"/>
        <rFont val="宋体"/>
        <charset val="134"/>
      </rPr>
      <t>脊髓血管栓塞费（介入）</t>
    </r>
    <r>
      <rPr>
        <sz val="12"/>
        <rFont val="Times New Roman"/>
        <charset val="0"/>
      </rPr>
      <t>-</t>
    </r>
    <r>
      <rPr>
        <sz val="12"/>
        <rFont val="宋体"/>
        <charset val="134"/>
      </rPr>
      <t>儿童（加收）</t>
    </r>
  </si>
  <si>
    <t>013302000100011</t>
  </si>
  <si>
    <r>
      <rPr>
        <sz val="12"/>
        <rFont val="宋体"/>
        <charset val="134"/>
      </rPr>
      <t>脊髓血管栓塞费（介入）</t>
    </r>
    <r>
      <rPr>
        <sz val="12"/>
        <rFont val="Times New Roman"/>
        <charset val="0"/>
      </rPr>
      <t>-</t>
    </r>
    <r>
      <rPr>
        <sz val="12"/>
        <rFont val="宋体"/>
        <charset val="134"/>
      </rPr>
      <t>脊髓血管畸形栓塞（加收）</t>
    </r>
  </si>
  <si>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</si>
  <si>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</si>
  <si>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</si>
  <si>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</si>
  <si>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r>
      <rPr>
        <sz val="12"/>
        <rFont val="Times New Roman"/>
        <charset val="0"/>
      </rPr>
      <t>1.</t>
    </r>
    <r>
      <rPr>
        <sz val="12"/>
        <rFont val="宋体"/>
        <charset val="134"/>
      </rPr>
      <t>本项目所称</t>
    </r>
    <r>
      <rPr>
        <sz val="12"/>
        <rFont val="Times New Roman"/>
        <charset val="0"/>
      </rPr>
      <t>“</t>
    </r>
    <r>
      <rPr>
        <sz val="12"/>
        <rFont val="宋体"/>
        <charset val="134"/>
      </rPr>
      <t>表面电极</t>
    </r>
    <r>
      <rPr>
        <sz val="12"/>
        <rFont val="Times New Roman"/>
        <charset val="0"/>
      </rPr>
      <t>”</t>
    </r>
    <r>
      <rPr>
        <sz val="12"/>
        <rFont val="宋体"/>
        <charset val="134"/>
      </rPr>
      <t>指：不侵入脑实质组织的脑皮层表面或硬膜表面电极。</t>
    </r>
    <r>
      <rPr>
        <sz val="12"/>
        <rFont val="Times New Roman"/>
        <charset val="0"/>
      </rPr>
      <t xml:space="preserve">
2.</t>
    </r>
    <r>
      <rPr>
        <sz val="12"/>
        <rFont val="宋体"/>
        <charset val="134"/>
      </rPr>
      <t>同台手术不得同时收取</t>
    </r>
    <r>
      <rPr>
        <sz val="12"/>
        <rFont val="Times New Roman"/>
        <charset val="0"/>
      </rPr>
      <t>“</t>
    </r>
    <r>
      <rPr>
        <sz val="12"/>
        <rFont val="宋体"/>
        <charset val="134"/>
      </rPr>
      <t>颅内电极取出费</t>
    </r>
    <r>
      <rPr>
        <sz val="12"/>
        <rFont val="Times New Roman"/>
        <charset val="0"/>
      </rPr>
      <t>”</t>
    </r>
    <r>
      <rPr>
        <sz val="12"/>
        <rFont val="宋体"/>
        <charset val="134"/>
      </rPr>
      <t>。</t>
    </r>
  </si>
  <si>
    <t>013302000110001</t>
  </si>
  <si>
    <r>
      <rPr>
        <sz val="12"/>
        <rFont val="宋体"/>
        <charset val="134"/>
      </rPr>
      <t>颅内电极置入费（表面电极）</t>
    </r>
    <r>
      <rPr>
        <sz val="12"/>
        <rFont val="Times New Roman"/>
        <charset val="0"/>
      </rPr>
      <t>-</t>
    </r>
    <r>
      <rPr>
        <sz val="12"/>
        <rFont val="宋体"/>
        <charset val="134"/>
      </rPr>
      <t>儿童（加收）</t>
    </r>
  </si>
  <si>
    <t>013302000120000</t>
  </si>
  <si>
    <t>颅内电极置入费（深部电极）</t>
  </si>
  <si>
    <r>
      <rPr>
        <sz val="12"/>
        <rFont val="Times New Roman"/>
        <charset val="0"/>
      </rPr>
      <t>1.</t>
    </r>
    <r>
      <rPr>
        <sz val="12"/>
        <rFont val="宋体"/>
        <charset val="134"/>
      </rPr>
      <t>本项目所称</t>
    </r>
    <r>
      <rPr>
        <sz val="12"/>
        <rFont val="Times New Roman"/>
        <charset val="0"/>
      </rPr>
      <t>“</t>
    </r>
    <r>
      <rPr>
        <sz val="12"/>
        <rFont val="宋体"/>
        <charset val="134"/>
      </rPr>
      <t>深部电极</t>
    </r>
    <r>
      <rPr>
        <sz val="12"/>
        <rFont val="Times New Roman"/>
        <charset val="0"/>
      </rPr>
      <t>”</t>
    </r>
    <r>
      <rPr>
        <sz val="12"/>
        <rFont val="宋体"/>
        <charset val="134"/>
      </rPr>
      <t>指：侵入脑实质组织的电极。</t>
    </r>
    <r>
      <rPr>
        <sz val="12"/>
        <rFont val="Times New Roman"/>
        <charset val="0"/>
      </rPr>
      <t xml:space="preserve">
2.</t>
    </r>
    <r>
      <rPr>
        <sz val="12"/>
        <rFont val="宋体"/>
        <charset val="134"/>
      </rPr>
      <t>同台手术不得同时收取</t>
    </r>
    <r>
      <rPr>
        <sz val="12"/>
        <rFont val="Times New Roman"/>
        <charset val="0"/>
      </rPr>
      <t>“</t>
    </r>
    <r>
      <rPr>
        <sz val="12"/>
        <rFont val="宋体"/>
        <charset val="134"/>
      </rPr>
      <t>颅内电极取出费</t>
    </r>
    <r>
      <rPr>
        <sz val="12"/>
        <rFont val="Times New Roman"/>
        <charset val="0"/>
      </rPr>
      <t>”</t>
    </r>
    <r>
      <rPr>
        <sz val="12"/>
        <rFont val="宋体"/>
        <charset val="134"/>
      </rPr>
      <t>。</t>
    </r>
  </si>
  <si>
    <t>013302000120001</t>
  </si>
  <si>
    <r>
      <rPr>
        <sz val="12"/>
        <rFont val="宋体"/>
        <charset val="134"/>
      </rPr>
      <t>颅内电极置入费（深部电极）</t>
    </r>
    <r>
      <rPr>
        <sz val="12"/>
        <rFont val="Times New Roman"/>
        <charset val="0"/>
      </rPr>
      <t>-</t>
    </r>
    <r>
      <rPr>
        <sz val="12"/>
        <rFont val="宋体"/>
        <charset val="134"/>
      </rPr>
      <t>儿童（加收）</t>
    </r>
  </si>
  <si>
    <t>013302000130000</t>
  </si>
  <si>
    <t>颅内电极取出费</t>
  </si>
  <si>
    <r>
      <rPr>
        <sz val="12"/>
        <rFont val="宋体"/>
        <charset val="134"/>
      </rPr>
      <t>通过各种方式将置入脑内的电极</t>
    </r>
    <r>
      <rPr>
        <sz val="12"/>
        <rFont val="Times New Roman"/>
        <charset val="0"/>
      </rPr>
      <t>/</t>
    </r>
    <r>
      <rPr>
        <sz val="12"/>
        <rFont val="宋体"/>
        <charset val="134"/>
      </rPr>
      <t>电刺激器取出。</t>
    </r>
  </si>
  <si>
    <t>所定价格涵盖手术计划、术区准备、消毒铺巾、切开、取出、缝合等步骤所需的人力资源和基本物质资源消耗。</t>
  </si>
  <si>
    <t>013302000130001</t>
  </si>
  <si>
    <r>
      <rPr>
        <sz val="12"/>
        <rFont val="宋体"/>
        <charset val="134"/>
      </rPr>
      <t>颅内电极取出费</t>
    </r>
    <r>
      <rPr>
        <sz val="12"/>
        <rFont val="Times New Roman"/>
        <charset val="0"/>
      </rPr>
      <t>-</t>
    </r>
    <r>
      <rPr>
        <sz val="12"/>
        <rFont val="宋体"/>
        <charset val="134"/>
      </rPr>
      <t>儿童（加收）</t>
    </r>
  </si>
  <si>
    <t>013302000140000</t>
  </si>
  <si>
    <t>脊髓电极置入费</t>
  </si>
  <si>
    <t>将电极和（或）电刺激器等各类信号传导装置临时或永久置入患者脊髓。</t>
  </si>
  <si>
    <r>
      <rPr>
        <sz val="12"/>
        <rFont val="Times New Roman"/>
        <charset val="0"/>
      </rPr>
      <t>1.</t>
    </r>
    <r>
      <rPr>
        <sz val="12"/>
        <rFont val="宋体"/>
        <charset val="134"/>
      </rPr>
      <t>本项目所称</t>
    </r>
    <r>
      <rPr>
        <sz val="12"/>
        <rFont val="Times New Roman"/>
        <charset val="0"/>
      </rPr>
      <t>“</t>
    </r>
    <r>
      <rPr>
        <sz val="12"/>
        <rFont val="宋体"/>
        <charset val="134"/>
      </rPr>
      <t>脊髓</t>
    </r>
    <r>
      <rPr>
        <sz val="12"/>
        <rFont val="Times New Roman"/>
        <charset val="0"/>
      </rPr>
      <t>”</t>
    </r>
    <r>
      <rPr>
        <sz val="12"/>
        <rFont val="宋体"/>
        <charset val="134"/>
      </rPr>
      <t>指：硬膜外、硬膜下、脊髓表面、脊髓内和椎管内神经根。</t>
    </r>
    <r>
      <rPr>
        <sz val="12"/>
        <rFont val="Times New Roman"/>
        <charset val="0"/>
      </rPr>
      <t xml:space="preserve">
2.</t>
    </r>
    <r>
      <rPr>
        <sz val="12"/>
        <rFont val="宋体"/>
        <charset val="134"/>
      </rPr>
      <t>同台手术不得同时收取</t>
    </r>
    <r>
      <rPr>
        <sz val="12"/>
        <rFont val="Times New Roman"/>
        <charset val="0"/>
      </rPr>
      <t>“</t>
    </r>
    <r>
      <rPr>
        <sz val="12"/>
        <rFont val="宋体"/>
        <charset val="134"/>
      </rPr>
      <t>脊髓电极取出费</t>
    </r>
    <r>
      <rPr>
        <sz val="12"/>
        <rFont val="Times New Roman"/>
        <charset val="0"/>
      </rPr>
      <t>”</t>
    </r>
    <r>
      <rPr>
        <sz val="12"/>
        <rFont val="宋体"/>
        <charset val="134"/>
      </rPr>
      <t>。</t>
    </r>
  </si>
  <si>
    <t>013302000140001</t>
  </si>
  <si>
    <r>
      <rPr>
        <sz val="12"/>
        <rFont val="宋体"/>
        <charset val="134"/>
      </rPr>
      <t>脊髓电极置入费</t>
    </r>
    <r>
      <rPr>
        <sz val="12"/>
        <rFont val="Times New Roman"/>
        <charset val="0"/>
      </rPr>
      <t>-</t>
    </r>
    <r>
      <rPr>
        <sz val="12"/>
        <rFont val="宋体"/>
        <charset val="134"/>
      </rPr>
      <t>儿童（加收）</t>
    </r>
  </si>
  <si>
    <t>013302000150000</t>
  </si>
  <si>
    <t>脊髓电极取出费</t>
  </si>
  <si>
    <t>通过各种方式将置入脊髓的电极电刺激器取出。</t>
  </si>
  <si>
    <t>013302000150001</t>
  </si>
  <si>
    <r>
      <rPr>
        <sz val="12"/>
        <rFont val="宋体"/>
        <charset val="134"/>
      </rPr>
      <t>脊髓电极取出费</t>
    </r>
    <r>
      <rPr>
        <sz val="12"/>
        <rFont val="Times New Roman"/>
        <charset val="0"/>
      </rPr>
      <t>-</t>
    </r>
    <r>
      <rPr>
        <sz val="12"/>
        <rFont val="宋体"/>
        <charset val="134"/>
      </rPr>
      <t>儿童（加收）</t>
    </r>
  </si>
  <si>
    <t>013302000160000</t>
  </si>
  <si>
    <t>周围神经电极置入费</t>
  </si>
  <si>
    <t>将电极和（或）电刺激器等各类信号传导装置临时或永久置入患者周围神经。</t>
  </si>
  <si>
    <r>
      <rPr>
        <sz val="12"/>
        <rFont val="宋体"/>
        <charset val="134"/>
      </rPr>
      <t>同台手术不得同时收取</t>
    </r>
    <r>
      <rPr>
        <sz val="12"/>
        <rFont val="Times New Roman"/>
        <charset val="0"/>
      </rPr>
      <t>“</t>
    </r>
    <r>
      <rPr>
        <sz val="12"/>
        <rFont val="宋体"/>
        <charset val="134"/>
      </rPr>
      <t>周围神经电极取出费</t>
    </r>
    <r>
      <rPr>
        <sz val="12"/>
        <rFont val="Times New Roman"/>
        <charset val="0"/>
      </rPr>
      <t>”</t>
    </r>
    <r>
      <rPr>
        <sz val="12"/>
        <rFont val="宋体"/>
        <charset val="134"/>
      </rPr>
      <t>。</t>
    </r>
  </si>
  <si>
    <t>013302000160001</t>
  </si>
  <si>
    <r>
      <rPr>
        <sz val="12"/>
        <rFont val="宋体"/>
        <charset val="134"/>
      </rPr>
      <t>周围神经电极置入费</t>
    </r>
    <r>
      <rPr>
        <sz val="12"/>
        <rFont val="Times New Roman"/>
        <charset val="0"/>
      </rPr>
      <t>-</t>
    </r>
    <r>
      <rPr>
        <sz val="12"/>
        <rFont val="宋体"/>
        <charset val="134"/>
      </rPr>
      <t>儿童（加收）</t>
    </r>
  </si>
  <si>
    <t>013302000160100</t>
  </si>
  <si>
    <r>
      <rPr>
        <sz val="12"/>
        <rFont val="宋体"/>
        <charset val="134"/>
      </rPr>
      <t>周围神经电极置入费</t>
    </r>
    <r>
      <rPr>
        <sz val="12"/>
        <rFont val="Times New Roman"/>
        <charset val="0"/>
      </rPr>
      <t>-</t>
    </r>
    <r>
      <rPr>
        <sz val="12"/>
        <rFont val="宋体"/>
        <charset val="134"/>
      </rPr>
      <t>迷走神经刺激器置入（扩展）</t>
    </r>
  </si>
  <si>
    <t>013302000161100</t>
  </si>
  <si>
    <r>
      <rPr>
        <sz val="12"/>
        <rFont val="宋体"/>
        <charset val="134"/>
      </rPr>
      <t>周围神经电极置入费</t>
    </r>
    <r>
      <rPr>
        <sz val="12"/>
        <rFont val="Times New Roman"/>
        <charset val="0"/>
      </rPr>
      <t>-</t>
    </r>
    <r>
      <rPr>
        <sz val="12"/>
        <rFont val="宋体"/>
        <charset val="134"/>
      </rPr>
      <t>骶神经刺激装置永久置入（扩展）</t>
    </r>
  </si>
  <si>
    <t>013302000170000</t>
  </si>
  <si>
    <t>周围神经电极取出费</t>
  </si>
  <si>
    <r>
      <rPr>
        <sz val="12"/>
        <rFont val="宋体"/>
        <charset val="134"/>
      </rPr>
      <t>通过各种方式将置入周围神经的电极</t>
    </r>
    <r>
      <rPr>
        <sz val="12"/>
        <rFont val="Times New Roman"/>
        <charset val="0"/>
      </rPr>
      <t>/</t>
    </r>
    <r>
      <rPr>
        <sz val="12"/>
        <rFont val="宋体"/>
        <charset val="134"/>
      </rPr>
      <t>电刺激器取出。</t>
    </r>
  </si>
  <si>
    <t>013302000170001</t>
  </si>
  <si>
    <r>
      <rPr>
        <sz val="12"/>
        <rFont val="宋体"/>
        <charset val="134"/>
      </rPr>
      <t>周围神经电极取出费</t>
    </r>
    <r>
      <rPr>
        <sz val="12"/>
        <rFont val="Times New Roman"/>
        <charset val="0"/>
      </rPr>
      <t>-</t>
    </r>
    <r>
      <rPr>
        <sz val="12"/>
        <rFont val="宋体"/>
        <charset val="134"/>
      </rPr>
      <t>儿童（加收）</t>
    </r>
  </si>
  <si>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</si>
  <si>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</si>
  <si>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</si>
  <si>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</si>
  <si>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</si>
  <si>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</si>
  <si>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</si>
  <si>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</si>
  <si>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</si>
  <si>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</si>
  <si>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r>
      <rPr>
        <sz val="12"/>
        <rFont val="宋体"/>
        <charset val="134"/>
      </rPr>
      <t>颅内探查费</t>
    </r>
    <r>
      <rPr>
        <sz val="12"/>
        <rFont val="Times New Roman"/>
        <charset val="0"/>
      </rPr>
      <t>-</t>
    </r>
    <r>
      <rPr>
        <sz val="12"/>
        <rFont val="宋体"/>
        <charset val="134"/>
      </rPr>
      <t>儿童（加收）</t>
    </r>
  </si>
  <si>
    <t>013302000190000</t>
  </si>
  <si>
    <t>颅脑穿刺引流费</t>
  </si>
  <si>
    <r>
      <rPr>
        <sz val="12"/>
        <rFont val="宋体"/>
        <charset val="134"/>
      </rPr>
      <t>通过对硬膜外</t>
    </r>
    <r>
      <rPr>
        <sz val="12"/>
        <rFont val="Times New Roman"/>
        <charset val="0"/>
      </rPr>
      <t>/</t>
    </r>
    <r>
      <rPr>
        <sz val="12"/>
        <rFont val="宋体"/>
        <charset val="134"/>
      </rPr>
      <t>硬膜下</t>
    </r>
    <r>
      <rPr>
        <sz val="12"/>
        <rFont val="Times New Roman"/>
        <charset val="0"/>
      </rPr>
      <t>/</t>
    </r>
    <r>
      <rPr>
        <sz val="12"/>
        <rFont val="宋体"/>
        <charset val="134"/>
      </rPr>
      <t>脊膜外穿刺、置管引流。</t>
    </r>
  </si>
  <si>
    <t>所定价格涵盖定位、消毒铺巾、钻孔或切皮钻孔、穿刺、排液、固定、置管引流、缝合等步骤所需的人力资源和基本物质资源消耗。</t>
  </si>
  <si>
    <r>
      <rPr>
        <sz val="12"/>
        <rFont val="Times New Roman"/>
        <charset val="0"/>
      </rPr>
      <t>1.</t>
    </r>
    <r>
      <rPr>
        <sz val="12"/>
        <rFont val="宋体"/>
        <charset val="134"/>
      </rPr>
      <t>颅脑穿刺引流按每钻孔计为一次。</t>
    </r>
    <r>
      <rPr>
        <sz val="12"/>
        <rFont val="Times New Roman"/>
        <charset val="0"/>
      </rPr>
      <t xml:space="preserve">
2.</t>
    </r>
    <r>
      <rPr>
        <sz val="12"/>
        <rFont val="宋体"/>
        <charset val="134"/>
      </rPr>
      <t>腰大池穿刺引流按每脊柱节段计为一次。</t>
    </r>
  </si>
  <si>
    <t>013302000190001</t>
  </si>
  <si>
    <r>
      <rPr>
        <sz val="12"/>
        <rFont val="宋体"/>
        <charset val="134"/>
      </rPr>
      <t>颅脑穿刺引流费</t>
    </r>
    <r>
      <rPr>
        <sz val="12"/>
        <rFont val="Times New Roman"/>
        <charset val="0"/>
      </rPr>
      <t>-</t>
    </r>
    <r>
      <rPr>
        <sz val="12"/>
        <rFont val="宋体"/>
        <charset val="134"/>
      </rPr>
      <t>儿童（加收）</t>
    </r>
  </si>
  <si>
    <t>013302000190011</t>
  </si>
  <si>
    <r>
      <rPr>
        <sz val="12"/>
        <rFont val="宋体"/>
        <charset val="134"/>
      </rPr>
      <t>颅脑穿刺引流费</t>
    </r>
    <r>
      <rPr>
        <sz val="12"/>
        <rFont val="Times New Roman"/>
        <charset val="0"/>
      </rPr>
      <t>-</t>
    </r>
    <r>
      <rPr>
        <sz val="12"/>
        <rFont val="宋体"/>
        <charset val="134"/>
      </rPr>
      <t>脑内穿刺引流（加收）</t>
    </r>
  </si>
  <si>
    <t>013302000190100</t>
  </si>
  <si>
    <r>
      <rPr>
        <sz val="12"/>
        <rFont val="宋体"/>
        <charset val="134"/>
      </rPr>
      <t>颅脑穿刺引流费</t>
    </r>
    <r>
      <rPr>
        <sz val="12"/>
        <rFont val="Times New Roman"/>
        <charset val="0"/>
      </rPr>
      <t>-</t>
    </r>
    <r>
      <rPr>
        <sz val="12"/>
        <rFont val="宋体"/>
        <charset val="0"/>
      </rPr>
      <t>腰大池穿刺引流（扩展）</t>
    </r>
  </si>
  <si>
    <t>腰大池穿刺引流按每脊柱节段计为一次。</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</si>
  <si>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</si>
  <si>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</si>
  <si>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</si>
  <si>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</si>
  <si>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</si>
  <si>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r>
      <rPr>
        <sz val="12"/>
        <rFont val="宋体"/>
        <charset val="134"/>
      </rPr>
      <t>脑脊液置换费</t>
    </r>
    <r>
      <rPr>
        <sz val="12"/>
        <rFont val="Times New Roman"/>
        <charset val="0"/>
      </rPr>
      <t>-</t>
    </r>
    <r>
      <rPr>
        <sz val="12"/>
        <rFont val="宋体"/>
        <charset val="134"/>
      </rPr>
      <t>儿童（加收）</t>
    </r>
  </si>
  <si>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</si>
  <si>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</si>
  <si>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</si>
  <si>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</si>
  <si>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r>
      <rPr>
        <sz val="12"/>
        <rFont val="Times New Roman"/>
        <charset val="0"/>
      </rPr>
      <t>1.</t>
    </r>
    <r>
      <rPr>
        <sz val="12"/>
        <rFont val="宋体"/>
        <charset val="134"/>
      </rPr>
      <t>储液装置包含药物泵。</t>
    </r>
    <r>
      <rPr>
        <sz val="12"/>
        <rFont val="Times New Roman"/>
        <charset val="0"/>
      </rPr>
      <t xml:space="preserve">
2.</t>
    </r>
    <r>
      <rPr>
        <sz val="12"/>
        <rFont val="宋体"/>
        <charset val="134"/>
      </rPr>
      <t>通过储液装置穿刺向颅内注射药物参照一般治疗中注射项目收费。</t>
    </r>
    <r>
      <rPr>
        <sz val="12"/>
        <rFont val="Times New Roman"/>
        <charset val="0"/>
      </rPr>
      <t xml:space="preserve">
3.</t>
    </r>
    <r>
      <rPr>
        <sz val="12"/>
        <rFont val="宋体"/>
        <charset val="134"/>
      </rPr>
      <t>同台手术不得同时收取</t>
    </r>
    <r>
      <rPr>
        <sz val="12"/>
        <rFont val="Times New Roman"/>
        <charset val="0"/>
      </rPr>
      <t>“</t>
    </r>
    <r>
      <rPr>
        <sz val="12"/>
        <rFont val="宋体"/>
        <charset val="134"/>
      </rPr>
      <t>颅内储液装置取出费</t>
    </r>
    <r>
      <rPr>
        <sz val="12"/>
        <rFont val="Times New Roman"/>
        <charset val="0"/>
      </rPr>
      <t>”</t>
    </r>
    <r>
      <rPr>
        <sz val="12"/>
        <rFont val="宋体"/>
        <charset val="134"/>
      </rPr>
      <t>。</t>
    </r>
  </si>
  <si>
    <t>013302000210001</t>
  </si>
  <si>
    <r>
      <rPr>
        <sz val="12"/>
        <rFont val="宋体"/>
        <charset val="134"/>
      </rPr>
      <t>颅内储液装置置入费</t>
    </r>
    <r>
      <rPr>
        <sz val="12"/>
        <rFont val="Times New Roman"/>
        <charset val="0"/>
      </rPr>
      <t>-</t>
    </r>
    <r>
      <rPr>
        <sz val="12"/>
        <rFont val="宋体"/>
        <charset val="134"/>
      </rPr>
      <t>儿童（加收）</t>
    </r>
  </si>
  <si>
    <t>013302000220000</t>
  </si>
  <si>
    <t>颅内储液装置取出费</t>
  </si>
  <si>
    <t>通过各种方式将置入的储液装置及管路取出。</t>
  </si>
  <si>
    <t>013302000220001</t>
  </si>
  <si>
    <r>
      <rPr>
        <sz val="12"/>
        <rFont val="宋体"/>
        <charset val="134"/>
      </rPr>
      <t>颅内储液装置取出费</t>
    </r>
    <r>
      <rPr>
        <sz val="12"/>
        <rFont val="Times New Roman"/>
        <charset val="0"/>
      </rPr>
      <t>-</t>
    </r>
    <r>
      <rPr>
        <sz val="12"/>
        <rFont val="宋体"/>
        <charset val="134"/>
      </rPr>
      <t>儿童（加收）</t>
    </r>
  </si>
  <si>
    <t>013302000230000</t>
  </si>
  <si>
    <t>颅内储液装置换管费</t>
  </si>
  <si>
    <t>通过各种方式更换置入的储液装置及管路。</t>
  </si>
  <si>
    <t>所定价格涵盖手术计划、术区准备、消毒铺巾、切开、更换、缝合等步骤所需的人力资源和基本物质资源消耗。</t>
  </si>
  <si>
    <r>
      <rPr>
        <sz val="12"/>
        <rFont val="宋体"/>
        <charset val="134"/>
      </rPr>
      <t>不与</t>
    </r>
    <r>
      <rPr>
        <sz val="12"/>
        <rFont val="Times New Roman"/>
        <charset val="0"/>
      </rPr>
      <t>“</t>
    </r>
    <r>
      <rPr>
        <sz val="12"/>
        <rFont val="宋体"/>
        <charset val="134"/>
      </rPr>
      <t>颅内储液装置置入费</t>
    </r>
    <r>
      <rPr>
        <sz val="12"/>
        <rFont val="Times New Roman"/>
        <charset val="0"/>
      </rPr>
      <t>”</t>
    </r>
    <r>
      <rPr>
        <sz val="12"/>
        <rFont val="宋体"/>
        <charset val="134"/>
      </rPr>
      <t>、</t>
    </r>
    <r>
      <rPr>
        <sz val="12"/>
        <rFont val="Times New Roman"/>
        <charset val="0"/>
      </rPr>
      <t>“</t>
    </r>
    <r>
      <rPr>
        <sz val="12"/>
        <rFont val="宋体"/>
        <charset val="134"/>
      </rPr>
      <t>颅内储液装置取出费</t>
    </r>
    <r>
      <rPr>
        <sz val="12"/>
        <rFont val="Times New Roman"/>
        <charset val="0"/>
      </rPr>
      <t>”</t>
    </r>
    <r>
      <rPr>
        <sz val="12"/>
        <rFont val="宋体"/>
        <charset val="134"/>
      </rPr>
      <t>同时收取。</t>
    </r>
  </si>
  <si>
    <t>013302000230001</t>
  </si>
  <si>
    <r>
      <rPr>
        <sz val="12"/>
        <rFont val="宋体"/>
        <charset val="134"/>
      </rPr>
      <t>颅内储液装置换管费</t>
    </r>
    <r>
      <rPr>
        <sz val="12"/>
        <rFont val="Times New Roman"/>
        <charset val="0"/>
      </rPr>
      <t>-</t>
    </r>
    <r>
      <rPr>
        <sz val="12"/>
        <rFont val="宋体"/>
        <charset val="134"/>
      </rPr>
      <t>儿童（加收）</t>
    </r>
  </si>
  <si>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</si>
  <si>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</si>
  <si>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</si>
  <si>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</si>
  <si>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</si>
  <si>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r>
      <rPr>
        <sz val="12"/>
        <rFont val="宋体"/>
        <charset val="134"/>
      </rPr>
      <t>开颅颅内减压费</t>
    </r>
    <r>
      <rPr>
        <sz val="12"/>
        <rFont val="Times New Roman"/>
        <charset val="0"/>
      </rPr>
      <t>-</t>
    </r>
    <r>
      <rPr>
        <sz val="12"/>
        <rFont val="宋体"/>
        <charset val="134"/>
      </rPr>
      <t>儿童（加收）</t>
    </r>
  </si>
  <si>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</si>
  <si>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</si>
  <si>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</si>
  <si>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</si>
  <si>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</si>
  <si>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r>
      <rPr>
        <sz val="12"/>
        <rFont val="宋体"/>
        <charset val="134"/>
      </rPr>
      <t>颅内病变切除费（常规）</t>
    </r>
    <r>
      <rPr>
        <sz val="12"/>
        <rFont val="Times New Roman"/>
        <charset val="0"/>
      </rPr>
      <t>-</t>
    </r>
    <r>
      <rPr>
        <sz val="12"/>
        <rFont val="宋体"/>
        <charset val="134"/>
      </rPr>
      <t>儿童（加收）</t>
    </r>
  </si>
  <si>
    <t>013302000260000</t>
  </si>
  <si>
    <t>颅内病变切除费（复杂）</t>
  </si>
  <si>
    <t>通过去除、离断、毁损等手术方式治疗复杂颅内病变。</t>
  </si>
  <si>
    <r>
      <rPr>
        <sz val="12"/>
        <rFont val="宋体"/>
        <charset val="134"/>
      </rPr>
      <t>本项目所称</t>
    </r>
    <r>
      <rPr>
        <sz val="12"/>
        <rFont val="Times New Roman"/>
        <charset val="0"/>
      </rPr>
      <t>“</t>
    </r>
    <r>
      <rPr>
        <sz val="12"/>
        <rFont val="宋体"/>
        <charset val="134"/>
      </rPr>
      <t>复杂</t>
    </r>
    <r>
      <rPr>
        <sz val="12"/>
        <rFont val="Times New Roman"/>
        <charset val="0"/>
      </rPr>
      <t>”</t>
    </r>
    <r>
      <rPr>
        <sz val="12"/>
        <rFont val="宋体"/>
        <charset val="134"/>
      </rPr>
      <t>指：幕下病变、累及重要血管（浅部及深部动静脉、静脉窦）、累及功能区、血管病变、多个病灶切除、病变最大径大于</t>
    </r>
    <r>
      <rPr>
        <sz val="12"/>
        <rFont val="Times New Roman"/>
        <charset val="0"/>
      </rPr>
      <t>30mm</t>
    </r>
    <r>
      <rPr>
        <sz val="12"/>
        <rFont val="宋体"/>
        <charset val="134"/>
      </rPr>
      <t>、病变弥散。</t>
    </r>
  </si>
  <si>
    <t>013302000260001</t>
  </si>
  <si>
    <r>
      <rPr>
        <sz val="12"/>
        <rFont val="宋体"/>
        <charset val="134"/>
      </rPr>
      <t>颅内病变切除费（复杂）</t>
    </r>
    <r>
      <rPr>
        <sz val="12"/>
        <rFont val="Times New Roman"/>
        <charset val="0"/>
      </rPr>
      <t>-</t>
    </r>
    <r>
      <rPr>
        <sz val="12"/>
        <rFont val="宋体"/>
        <charset val="134"/>
      </rPr>
      <t>儿童（加收）</t>
    </r>
  </si>
  <si>
    <t>013302000270000</t>
  </si>
  <si>
    <t>颅底病变切除费（常规）</t>
  </si>
  <si>
    <t>通过手术切除或清除颅底病变。</t>
  </si>
  <si>
    <t>013302000270001</t>
  </si>
  <si>
    <r>
      <rPr>
        <sz val="12"/>
        <rFont val="宋体"/>
        <charset val="134"/>
      </rPr>
      <t>颅底病变切除费（常规）</t>
    </r>
    <r>
      <rPr>
        <sz val="12"/>
        <rFont val="Times New Roman"/>
        <charset val="0"/>
      </rPr>
      <t>-</t>
    </r>
    <r>
      <rPr>
        <sz val="12"/>
        <rFont val="宋体"/>
        <charset val="134"/>
      </rPr>
      <t>儿童（加收）</t>
    </r>
  </si>
  <si>
    <t>013302000280000</t>
  </si>
  <si>
    <t>颅底病变切除费（复杂）</t>
  </si>
  <si>
    <t>通过手术切除或清除颅底的复杂病变。</t>
  </si>
  <si>
    <r>
      <rPr>
        <sz val="12"/>
        <rFont val="宋体"/>
        <charset val="134"/>
      </rPr>
      <t>本项目所称</t>
    </r>
    <r>
      <rPr>
        <sz val="12"/>
        <rFont val="Times New Roman"/>
        <charset val="0"/>
      </rPr>
      <t>“</t>
    </r>
    <r>
      <rPr>
        <sz val="12"/>
        <rFont val="宋体"/>
        <charset val="134"/>
      </rPr>
      <t>复杂</t>
    </r>
    <r>
      <rPr>
        <sz val="12"/>
        <rFont val="Times New Roman"/>
        <charset val="0"/>
      </rPr>
      <t>”</t>
    </r>
    <r>
      <rPr>
        <sz val="12"/>
        <rFont val="宋体"/>
        <charset val="134"/>
      </rPr>
      <t>指：病变累及硬膜内的脑与神经结构、累及重要的脑血管（浅部及深部动静脉、静脉窦）、血管病变、多个病灶切除、病变最大径大于</t>
    </r>
    <r>
      <rPr>
        <sz val="12"/>
        <rFont val="Times New Roman"/>
        <charset val="0"/>
      </rPr>
      <t>30mm</t>
    </r>
    <r>
      <rPr>
        <sz val="12"/>
        <rFont val="宋体"/>
        <charset val="134"/>
      </rPr>
      <t>、病变弥散。</t>
    </r>
  </si>
  <si>
    <t>013302000280001</t>
  </si>
  <si>
    <r>
      <rPr>
        <sz val="12"/>
        <rFont val="宋体"/>
        <charset val="134"/>
      </rPr>
      <t>颅底病变切除费（复杂）</t>
    </r>
    <r>
      <rPr>
        <sz val="12"/>
        <rFont val="Times New Roman"/>
        <charset val="0"/>
      </rPr>
      <t>-</t>
    </r>
    <r>
      <rPr>
        <sz val="12"/>
        <rFont val="宋体"/>
        <charset val="134"/>
      </rPr>
      <t>儿童（加收）</t>
    </r>
  </si>
  <si>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</si>
  <si>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</si>
  <si>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</si>
  <si>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</si>
  <si>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r>
      <rPr>
        <sz val="12"/>
        <rFont val="宋体"/>
        <charset val="134"/>
      </rPr>
      <t>不与</t>
    </r>
    <r>
      <rPr>
        <sz val="12"/>
        <rFont val="Times New Roman"/>
        <charset val="0"/>
      </rPr>
      <t>“</t>
    </r>
    <r>
      <rPr>
        <sz val="12"/>
        <rFont val="宋体"/>
        <charset val="134"/>
      </rPr>
      <t>颅骨修复费</t>
    </r>
    <r>
      <rPr>
        <sz val="12"/>
        <rFont val="Times New Roman"/>
        <charset val="0"/>
      </rPr>
      <t>”</t>
    </r>
    <r>
      <rPr>
        <sz val="12"/>
        <rFont val="宋体"/>
        <charset val="134"/>
      </rPr>
      <t>、</t>
    </r>
    <r>
      <rPr>
        <sz val="12"/>
        <rFont val="Times New Roman"/>
        <charset val="0"/>
      </rPr>
      <t>“</t>
    </r>
    <r>
      <rPr>
        <sz val="12"/>
        <rFont val="宋体"/>
        <charset val="134"/>
      </rPr>
      <t>颅骨重建费</t>
    </r>
    <r>
      <rPr>
        <sz val="12"/>
        <rFont val="Times New Roman"/>
        <charset val="0"/>
      </rPr>
      <t>”</t>
    </r>
    <r>
      <rPr>
        <sz val="12"/>
        <rFont val="宋体"/>
        <charset val="134"/>
      </rPr>
      <t>同时收取。</t>
    </r>
  </si>
  <si>
    <t>013302000290001</t>
  </si>
  <si>
    <r>
      <rPr>
        <sz val="12"/>
        <rFont val="宋体"/>
        <charset val="134"/>
      </rPr>
      <t>颅骨病变切除费</t>
    </r>
    <r>
      <rPr>
        <sz val="12"/>
        <rFont val="Times New Roman"/>
        <charset val="0"/>
      </rPr>
      <t>-</t>
    </r>
    <r>
      <rPr>
        <sz val="12"/>
        <rFont val="宋体"/>
        <charset val="134"/>
      </rPr>
      <t>儿童（加收）</t>
    </r>
  </si>
  <si>
    <t>013302000300000</t>
  </si>
  <si>
    <t>颅骨修复费</t>
  </si>
  <si>
    <t>通过手术修复外伤、畸形、感染等多种情况导致的颅骨缺损。</t>
  </si>
  <si>
    <t>所定价格涵盖手术计划、术区准备、消毒铺巾、切开、修复、缝合等步骤所需的人力资源和基本物质资源消耗。</t>
  </si>
  <si>
    <r>
      <rPr>
        <sz val="12"/>
        <rFont val="宋体"/>
        <charset val="134"/>
      </rPr>
      <t>不与</t>
    </r>
    <r>
      <rPr>
        <sz val="12"/>
        <rFont val="Times New Roman"/>
        <charset val="0"/>
      </rPr>
      <t>“</t>
    </r>
    <r>
      <rPr>
        <sz val="12"/>
        <rFont val="宋体"/>
        <charset val="134"/>
      </rPr>
      <t>颅骨病变切除费</t>
    </r>
    <r>
      <rPr>
        <sz val="12"/>
        <rFont val="Times New Roman"/>
        <charset val="0"/>
      </rPr>
      <t>”</t>
    </r>
    <r>
      <rPr>
        <sz val="12"/>
        <rFont val="宋体"/>
        <charset val="134"/>
      </rPr>
      <t>、</t>
    </r>
    <r>
      <rPr>
        <sz val="12"/>
        <rFont val="Times New Roman"/>
        <charset val="0"/>
      </rPr>
      <t>“</t>
    </r>
    <r>
      <rPr>
        <sz val="12"/>
        <rFont val="宋体"/>
        <charset val="134"/>
      </rPr>
      <t>颅骨重建费</t>
    </r>
    <r>
      <rPr>
        <sz val="12"/>
        <rFont val="Times New Roman"/>
        <charset val="0"/>
      </rPr>
      <t>”</t>
    </r>
    <r>
      <rPr>
        <sz val="12"/>
        <rFont val="宋体"/>
        <charset val="134"/>
      </rPr>
      <t>同时收取。</t>
    </r>
  </si>
  <si>
    <t>013302000300001</t>
  </si>
  <si>
    <r>
      <rPr>
        <sz val="12"/>
        <rFont val="宋体"/>
        <charset val="134"/>
      </rPr>
      <t>颅骨修复费</t>
    </r>
    <r>
      <rPr>
        <sz val="12"/>
        <rFont val="Times New Roman"/>
        <charset val="0"/>
      </rPr>
      <t>-</t>
    </r>
    <r>
      <rPr>
        <sz val="12"/>
        <rFont val="宋体"/>
        <charset val="134"/>
      </rPr>
      <t>儿童（加收）</t>
    </r>
  </si>
  <si>
    <t>013302000310000</t>
  </si>
  <si>
    <t>颅骨重建费</t>
  </si>
  <si>
    <t>通过手术重建颅骨形态。</t>
  </si>
  <si>
    <t>所定价格涵盖手术计划、术区准备、消毒铺巾、颅骨重建等步骤所需的人力资源和和基本物质资源消耗。</t>
  </si>
  <si>
    <r>
      <rPr>
        <sz val="12"/>
        <rFont val="宋体"/>
        <charset val="134"/>
      </rPr>
      <t>不与</t>
    </r>
    <r>
      <rPr>
        <sz val="12"/>
        <rFont val="Times New Roman"/>
        <charset val="0"/>
      </rPr>
      <t>“</t>
    </r>
    <r>
      <rPr>
        <sz val="12"/>
        <rFont val="宋体"/>
        <charset val="134"/>
      </rPr>
      <t>颅骨病变切除费</t>
    </r>
    <r>
      <rPr>
        <sz val="12"/>
        <rFont val="Times New Roman"/>
        <charset val="0"/>
      </rPr>
      <t>”</t>
    </r>
    <r>
      <rPr>
        <sz val="12"/>
        <rFont val="宋体"/>
        <charset val="134"/>
      </rPr>
      <t>、</t>
    </r>
    <r>
      <rPr>
        <sz val="12"/>
        <rFont val="Times New Roman"/>
        <charset val="0"/>
      </rPr>
      <t>“</t>
    </r>
    <r>
      <rPr>
        <sz val="12"/>
        <rFont val="宋体"/>
        <charset val="134"/>
      </rPr>
      <t>颅骨修复费</t>
    </r>
    <r>
      <rPr>
        <sz val="12"/>
        <rFont val="Times New Roman"/>
        <charset val="0"/>
      </rPr>
      <t>”</t>
    </r>
    <r>
      <rPr>
        <sz val="12"/>
        <rFont val="宋体"/>
        <charset val="134"/>
      </rPr>
      <t>同时收取。</t>
    </r>
  </si>
  <si>
    <t>013302000310001</t>
  </si>
  <si>
    <r>
      <rPr>
        <sz val="12"/>
        <rFont val="宋体"/>
        <charset val="134"/>
      </rPr>
      <t>颅骨重建费</t>
    </r>
    <r>
      <rPr>
        <sz val="12"/>
        <rFont val="Times New Roman"/>
        <charset val="0"/>
      </rPr>
      <t>-</t>
    </r>
    <r>
      <rPr>
        <sz val="12"/>
        <rFont val="宋体"/>
        <charset val="134"/>
      </rPr>
      <t>儿童（加收）</t>
    </r>
  </si>
  <si>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</si>
  <si>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</si>
  <si>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</si>
  <si>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</si>
  <si>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013302000320001</t>
  </si>
  <si>
    <r>
      <rPr>
        <sz val="12"/>
        <rFont val="宋体"/>
        <charset val="134"/>
      </rPr>
      <t>颅底重建费</t>
    </r>
    <r>
      <rPr>
        <sz val="12"/>
        <rFont val="Times New Roman"/>
        <charset val="0"/>
      </rPr>
      <t>-</t>
    </r>
    <r>
      <rPr>
        <sz val="12"/>
        <rFont val="宋体"/>
        <charset val="134"/>
      </rPr>
      <t>儿童（加收）</t>
    </r>
  </si>
  <si>
    <t>013302000320100</t>
  </si>
  <si>
    <r>
      <rPr>
        <sz val="12"/>
        <rFont val="宋体"/>
        <charset val="134"/>
      </rPr>
      <t>颅底重建费</t>
    </r>
    <r>
      <rPr>
        <sz val="12"/>
        <rFont val="Times New Roman"/>
        <charset val="0"/>
      </rPr>
      <t>-</t>
    </r>
    <r>
      <rPr>
        <sz val="12"/>
        <rFont val="宋体"/>
        <charset val="134"/>
      </rPr>
      <t>脑脊液漏修补（扩展）</t>
    </r>
  </si>
  <si>
    <t>013302000330000</t>
  </si>
  <si>
    <t>脑室造瘘费</t>
  </si>
  <si>
    <t>通过手术对脑室的梗阻、积液、出血等情形进行开窗造瘘。</t>
  </si>
  <si>
    <t>所定价格涵盖手术计划、术区准备、消毒铺巾、开颅、造瘘、关颅等步骤所需的人力资源和基本物质资源消耗。</t>
  </si>
  <si>
    <t>造瘘口</t>
  </si>
  <si>
    <t>013302000330001</t>
  </si>
  <si>
    <r>
      <rPr>
        <sz val="12"/>
        <rFont val="宋体"/>
        <charset val="134"/>
      </rPr>
      <t>脑室造瘘费</t>
    </r>
    <r>
      <rPr>
        <sz val="12"/>
        <rFont val="Times New Roman"/>
        <charset val="0"/>
      </rPr>
      <t>-</t>
    </r>
    <r>
      <rPr>
        <sz val="12"/>
        <rFont val="宋体"/>
        <charset val="134"/>
      </rPr>
      <t>儿童（加收）</t>
    </r>
  </si>
  <si>
    <t>013302000330100</t>
  </si>
  <si>
    <r>
      <rPr>
        <sz val="12"/>
        <rFont val="宋体"/>
        <charset val="134"/>
      </rPr>
      <t>脑室造瘘费</t>
    </r>
    <r>
      <rPr>
        <sz val="12"/>
        <rFont val="Times New Roman"/>
        <charset val="0"/>
      </rPr>
      <t>-</t>
    </r>
    <r>
      <rPr>
        <sz val="12"/>
        <rFont val="宋体"/>
        <charset val="134"/>
      </rPr>
      <t>终板造瘘（扩展）</t>
    </r>
  </si>
  <si>
    <t>013302000331100</t>
  </si>
  <si>
    <r>
      <rPr>
        <sz val="12"/>
        <rFont val="宋体"/>
        <charset val="134"/>
      </rPr>
      <t>脑室造瘘费</t>
    </r>
    <r>
      <rPr>
        <sz val="12"/>
        <rFont val="Times New Roman"/>
        <charset val="0"/>
      </rPr>
      <t>-</t>
    </r>
    <r>
      <rPr>
        <sz val="12"/>
        <rFont val="宋体"/>
        <charset val="134"/>
      </rPr>
      <t>透明隔造瘘（扩展）</t>
    </r>
  </si>
  <si>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</si>
  <si>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</si>
  <si>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</si>
  <si>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</si>
  <si>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</si>
  <si>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r>
      <rPr>
        <sz val="12"/>
        <rFont val="宋体"/>
        <charset val="134"/>
      </rPr>
      <t>脑脊膜膨出修补费</t>
    </r>
    <r>
      <rPr>
        <sz val="12"/>
        <rFont val="Times New Roman"/>
        <charset val="0"/>
      </rPr>
      <t>-</t>
    </r>
    <r>
      <rPr>
        <sz val="12"/>
        <rFont val="宋体"/>
        <charset val="134"/>
      </rPr>
      <t>儿童（加收）</t>
    </r>
  </si>
  <si>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</si>
  <si>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</si>
  <si>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</si>
  <si>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</si>
  <si>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r>
      <rPr>
        <sz val="12"/>
        <rFont val="Times New Roman"/>
        <charset val="0"/>
      </rPr>
      <t>1.</t>
    </r>
    <r>
      <rPr>
        <sz val="12"/>
        <rFont val="宋体"/>
        <charset val="134"/>
      </rPr>
      <t>次指</t>
    </r>
    <r>
      <rPr>
        <sz val="12"/>
        <rFont val="Times New Roman"/>
        <charset val="0"/>
      </rPr>
      <t>1</t>
    </r>
    <r>
      <rPr>
        <sz val="12"/>
        <rFont val="宋体"/>
        <charset val="134"/>
      </rPr>
      <t>个动脉瘤，每增加</t>
    </r>
    <r>
      <rPr>
        <sz val="12"/>
        <rFont val="Times New Roman"/>
        <charset val="0"/>
      </rPr>
      <t>1</t>
    </r>
    <r>
      <rPr>
        <sz val="12"/>
        <rFont val="宋体"/>
        <charset val="134"/>
      </rPr>
      <t>个动脉瘤按</t>
    </r>
    <r>
      <rPr>
        <sz val="12"/>
        <rFont val="Times New Roman"/>
        <charset val="0"/>
      </rPr>
      <t>20%</t>
    </r>
    <r>
      <rPr>
        <sz val="12"/>
        <rFont val="宋体"/>
        <charset val="134"/>
      </rPr>
      <t>加收。</t>
    </r>
    <r>
      <rPr>
        <sz val="12"/>
        <rFont val="Times New Roman"/>
        <charset val="0"/>
      </rPr>
      <t xml:space="preserve">
2.</t>
    </r>
    <r>
      <rPr>
        <sz val="12"/>
        <rFont val="宋体"/>
        <charset val="134"/>
      </rPr>
      <t>大型动脉瘤指最大径</t>
    </r>
    <r>
      <rPr>
        <sz val="12"/>
        <rFont val="Times New Roman"/>
        <charset val="0"/>
      </rPr>
      <t>15mm</t>
    </r>
    <r>
      <rPr>
        <sz val="12"/>
        <rFont val="宋体"/>
        <charset val="134"/>
      </rPr>
      <t>以上。</t>
    </r>
  </si>
  <si>
    <t>013302000350001</t>
  </si>
  <si>
    <r>
      <rPr>
        <sz val="12"/>
        <rFont val="宋体"/>
        <charset val="134"/>
      </rPr>
      <t>颅内动脉瘤夹闭成形费</t>
    </r>
    <r>
      <rPr>
        <sz val="12"/>
        <rFont val="Times New Roman"/>
        <charset val="0"/>
      </rPr>
      <t>-</t>
    </r>
    <r>
      <rPr>
        <sz val="12"/>
        <rFont val="宋体"/>
        <charset val="134"/>
      </rPr>
      <t>儿童（加收）</t>
    </r>
  </si>
  <si>
    <t>013302000350011</t>
  </si>
  <si>
    <r>
      <rPr>
        <sz val="12"/>
        <rFont val="宋体"/>
        <charset val="134"/>
      </rPr>
      <t>颅内动脉瘤夹闭成形费</t>
    </r>
    <r>
      <rPr>
        <sz val="12"/>
        <rFont val="Times New Roman"/>
        <charset val="0"/>
      </rPr>
      <t>-</t>
    </r>
    <r>
      <rPr>
        <sz val="12"/>
        <rFont val="宋体"/>
        <charset val="134"/>
      </rPr>
      <t>大型动脉瘤（加收）</t>
    </r>
  </si>
  <si>
    <r>
      <rPr>
        <sz val="12"/>
        <rFont val="方正书宋_GBK"/>
        <charset val="134"/>
      </rPr>
      <t>大型动脉瘤指最大径</t>
    </r>
    <r>
      <rPr>
        <sz val="12"/>
        <rFont val="Times New Roman"/>
        <charset val="0"/>
      </rPr>
      <t>15mm</t>
    </r>
    <r>
      <rPr>
        <sz val="12"/>
        <rFont val="方正书宋_GBK"/>
        <charset val="134"/>
      </rPr>
      <t>以上。</t>
    </r>
  </si>
  <si>
    <t>013302000350021</t>
  </si>
  <si>
    <r>
      <rPr>
        <sz val="12"/>
        <rFont val="宋体"/>
        <charset val="134"/>
      </rPr>
      <t>颅内动脉瘤夹闭成形费</t>
    </r>
    <r>
      <rPr>
        <sz val="12"/>
        <rFont val="Times New Roman"/>
        <charset val="0"/>
      </rPr>
      <t>-</t>
    </r>
    <r>
      <rPr>
        <sz val="12"/>
        <rFont val="宋体"/>
        <charset val="134"/>
      </rPr>
      <t>破裂动脉瘤（加收）</t>
    </r>
  </si>
  <si>
    <t>013302000360000</t>
  </si>
  <si>
    <t>颅内外动脉搭桥费</t>
  </si>
  <si>
    <t>通过颅内外血管建立通路。</t>
  </si>
  <si>
    <t>所定价格涵盖手术计划、术区准备、消毒铺巾、开颅、颅内外动脉暴露、搭桥、关颅等步骤所需的人力资源和基本物质资源消耗。</t>
  </si>
  <si>
    <r>
      <rPr>
        <sz val="12"/>
        <rFont val="宋体"/>
        <charset val="134"/>
      </rPr>
      <t>次指</t>
    </r>
    <r>
      <rPr>
        <sz val="12"/>
        <rFont val="Times New Roman"/>
        <charset val="0"/>
      </rPr>
      <t>1</t>
    </r>
    <r>
      <rPr>
        <sz val="12"/>
        <rFont val="宋体"/>
        <charset val="134"/>
      </rPr>
      <t>条血管，每增加</t>
    </r>
    <r>
      <rPr>
        <sz val="12"/>
        <rFont val="Times New Roman"/>
        <charset val="0"/>
      </rPr>
      <t>1</t>
    </r>
    <r>
      <rPr>
        <sz val="12"/>
        <rFont val="宋体"/>
        <charset val="134"/>
      </rPr>
      <t>条血管按</t>
    </r>
    <r>
      <rPr>
        <sz val="12"/>
        <rFont val="Times New Roman"/>
        <charset val="0"/>
      </rPr>
      <t>50%</t>
    </r>
    <r>
      <rPr>
        <sz val="12"/>
        <rFont val="宋体"/>
        <charset val="134"/>
      </rPr>
      <t>加收。</t>
    </r>
  </si>
  <si>
    <t>013302000360001</t>
  </si>
  <si>
    <r>
      <rPr>
        <sz val="12"/>
        <rFont val="宋体"/>
        <charset val="134"/>
      </rPr>
      <t>颅内外动脉搭桥费</t>
    </r>
    <r>
      <rPr>
        <sz val="12"/>
        <rFont val="Times New Roman"/>
        <charset val="0"/>
      </rPr>
      <t>-</t>
    </r>
    <r>
      <rPr>
        <sz val="12"/>
        <rFont val="宋体"/>
        <charset val="134"/>
      </rPr>
      <t>儿童（加收）</t>
    </r>
  </si>
  <si>
    <t>013302000360011</t>
  </si>
  <si>
    <r>
      <rPr>
        <sz val="12"/>
        <rFont val="宋体"/>
        <charset val="134"/>
      </rPr>
      <t>颅内外动脉搭桥费</t>
    </r>
    <r>
      <rPr>
        <sz val="12"/>
        <rFont val="Times New Roman"/>
        <charset val="0"/>
      </rPr>
      <t>-</t>
    </r>
    <r>
      <rPr>
        <sz val="12"/>
        <rFont val="宋体"/>
        <charset val="134"/>
      </rPr>
      <t>移植血管搭桥（加收）</t>
    </r>
  </si>
  <si>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</si>
  <si>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</si>
  <si>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</si>
  <si>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</si>
  <si>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</si>
  <si>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r>
      <rPr>
        <sz val="12"/>
        <rFont val="宋体"/>
        <charset val="134"/>
      </rPr>
      <t>颅内血管重建费</t>
    </r>
    <r>
      <rPr>
        <sz val="12"/>
        <rFont val="Times New Roman"/>
        <charset val="0"/>
      </rPr>
      <t>-</t>
    </r>
    <r>
      <rPr>
        <sz val="12"/>
        <rFont val="宋体"/>
        <charset val="134"/>
      </rPr>
      <t>儿童（加收）</t>
    </r>
  </si>
  <si>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</si>
  <si>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</si>
  <si>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</si>
  <si>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</si>
  <si>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</si>
  <si>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</si>
  <si>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</si>
  <si>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</si>
  <si>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r>
      <rPr>
        <sz val="12"/>
        <rFont val="宋体"/>
        <charset val="134"/>
      </rPr>
      <t>同台手术不得同时收取</t>
    </r>
    <r>
      <rPr>
        <sz val="12"/>
        <rFont val="Times New Roman"/>
        <charset val="0"/>
      </rPr>
      <t>“</t>
    </r>
    <r>
      <rPr>
        <sz val="12"/>
        <rFont val="宋体"/>
        <charset val="134"/>
      </rPr>
      <t>脑脊液分流装置取出费</t>
    </r>
    <r>
      <rPr>
        <sz val="12"/>
        <rFont val="Times New Roman"/>
        <charset val="0"/>
      </rPr>
      <t>”</t>
    </r>
    <r>
      <rPr>
        <sz val="12"/>
        <rFont val="宋体"/>
        <charset val="134"/>
      </rPr>
      <t>。</t>
    </r>
  </si>
  <si>
    <t>013302000380001</t>
  </si>
  <si>
    <r>
      <rPr>
        <sz val="12"/>
        <rFont val="宋体"/>
        <charset val="134"/>
      </rPr>
      <t>脑脊液分流装置置入费</t>
    </r>
    <r>
      <rPr>
        <sz val="12"/>
        <rFont val="Times New Roman"/>
        <charset val="0"/>
      </rPr>
      <t>-</t>
    </r>
    <r>
      <rPr>
        <sz val="12"/>
        <rFont val="宋体"/>
        <charset val="134"/>
      </rPr>
      <t>儿童（加收）</t>
    </r>
  </si>
  <si>
    <t>013302000380100</t>
  </si>
  <si>
    <r>
      <rPr>
        <sz val="12"/>
        <rFont val="宋体"/>
        <charset val="134"/>
      </rPr>
      <t>脑脊液分流装置置入费</t>
    </r>
    <r>
      <rPr>
        <sz val="12"/>
        <rFont val="Times New Roman"/>
        <charset val="0"/>
      </rPr>
      <t>-</t>
    </r>
    <r>
      <rPr>
        <sz val="12"/>
        <rFont val="宋体"/>
        <charset val="134"/>
      </rPr>
      <t>腰大池腹腔分流（扩展）</t>
    </r>
  </si>
  <si>
    <t>013302000390000</t>
  </si>
  <si>
    <t>脑脊液分流装置取出费</t>
  </si>
  <si>
    <t>通过各种方式将置入的分流装置取出。</t>
  </si>
  <si>
    <t>013302000390001</t>
  </si>
  <si>
    <r>
      <rPr>
        <sz val="12"/>
        <rFont val="宋体"/>
        <charset val="134"/>
      </rPr>
      <t>脑脊液分流装置取出费</t>
    </r>
    <r>
      <rPr>
        <sz val="12"/>
        <rFont val="Times New Roman"/>
        <charset val="0"/>
      </rPr>
      <t>-</t>
    </r>
    <r>
      <rPr>
        <sz val="12"/>
        <rFont val="宋体"/>
        <charset val="134"/>
      </rPr>
      <t>儿童（加收）</t>
    </r>
  </si>
  <si>
    <t>013302000400000</t>
  </si>
  <si>
    <t>颅内压监测探头置入费</t>
  </si>
  <si>
    <t>通过各种方式置入颅内压监测探头。</t>
  </si>
  <si>
    <t>所定价格涵盖手术计划、术区准备、消毒铺巾、开颅、置入探头、固定、关颅等步骤所需的人力资源和基本物质资源消耗。</t>
  </si>
  <si>
    <r>
      <rPr>
        <sz val="12"/>
        <rFont val="宋体"/>
        <charset val="134"/>
      </rPr>
      <t>同台手术不得同时收取</t>
    </r>
    <r>
      <rPr>
        <sz val="12"/>
        <rFont val="Times New Roman"/>
        <charset val="0"/>
      </rPr>
      <t>“</t>
    </r>
    <r>
      <rPr>
        <sz val="12"/>
        <rFont val="宋体"/>
        <charset val="134"/>
      </rPr>
      <t>颅内压监测探头取出费</t>
    </r>
    <r>
      <rPr>
        <sz val="12"/>
        <rFont val="Times New Roman"/>
        <charset val="0"/>
      </rPr>
      <t>”</t>
    </r>
    <r>
      <rPr>
        <sz val="12"/>
        <rFont val="宋体"/>
        <charset val="134"/>
      </rPr>
      <t>。</t>
    </r>
  </si>
  <si>
    <t>013302000400001</t>
  </si>
  <si>
    <r>
      <rPr>
        <sz val="12"/>
        <rFont val="宋体"/>
        <charset val="134"/>
      </rPr>
      <t>颅内压监测探头置入费</t>
    </r>
    <r>
      <rPr>
        <sz val="12"/>
        <rFont val="Times New Roman"/>
        <charset val="0"/>
      </rPr>
      <t>-</t>
    </r>
    <r>
      <rPr>
        <sz val="12"/>
        <rFont val="宋体"/>
        <charset val="134"/>
      </rPr>
      <t>儿童（加收）</t>
    </r>
  </si>
  <si>
    <t>013302000410000</t>
  </si>
  <si>
    <t>颅内压监测探头取出费</t>
  </si>
  <si>
    <t>通过各种方式将置入的颅内压监测探头取出。</t>
  </si>
  <si>
    <t>013302000410001</t>
  </si>
  <si>
    <r>
      <rPr>
        <sz val="12"/>
        <rFont val="宋体"/>
        <charset val="134"/>
      </rPr>
      <t>颅内压监测探头取出费</t>
    </r>
    <r>
      <rPr>
        <sz val="12"/>
        <rFont val="Times New Roman"/>
        <charset val="0"/>
      </rPr>
      <t>-</t>
    </r>
    <r>
      <rPr>
        <sz val="12"/>
        <rFont val="宋体"/>
        <charset val="134"/>
      </rPr>
      <t>儿童（加收）</t>
    </r>
  </si>
  <si>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</si>
  <si>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</si>
  <si>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</si>
  <si>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</si>
  <si>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</si>
  <si>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</si>
  <si>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</si>
  <si>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</si>
  <si>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</si>
  <si>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r>
      <rPr>
        <sz val="12"/>
        <rFont val="宋体"/>
        <charset val="134"/>
      </rPr>
      <t>椎管内切开引流费</t>
    </r>
    <r>
      <rPr>
        <sz val="12"/>
        <rFont val="Times New Roman"/>
        <charset val="0"/>
      </rPr>
      <t>-</t>
    </r>
    <r>
      <rPr>
        <sz val="12"/>
        <rFont val="宋体"/>
        <charset val="134"/>
      </rPr>
      <t>儿童（加收）</t>
    </r>
  </si>
  <si>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</si>
  <si>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</si>
  <si>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</si>
  <si>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</si>
  <si>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</si>
  <si>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r>
      <rPr>
        <sz val="12"/>
        <rFont val="宋体"/>
        <charset val="134"/>
      </rPr>
      <t>脊髓内引流费</t>
    </r>
    <r>
      <rPr>
        <sz val="12"/>
        <rFont val="Times New Roman"/>
        <charset val="0"/>
      </rPr>
      <t>-</t>
    </r>
    <r>
      <rPr>
        <sz val="12"/>
        <rFont val="宋体"/>
        <charset val="134"/>
      </rPr>
      <t>儿童（加收）</t>
    </r>
  </si>
  <si>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</si>
  <si>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</si>
  <si>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</si>
  <si>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</si>
  <si>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</si>
  <si>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r>
      <rPr>
        <sz val="12"/>
        <rFont val="宋体"/>
        <charset val="134"/>
      </rPr>
      <t>髓内病变切除费（常规）</t>
    </r>
    <r>
      <rPr>
        <sz val="12"/>
        <rFont val="Times New Roman"/>
        <charset val="0"/>
      </rPr>
      <t>-</t>
    </r>
    <r>
      <rPr>
        <sz val="12"/>
        <rFont val="宋体"/>
        <charset val="134"/>
      </rPr>
      <t>儿童（加收）</t>
    </r>
  </si>
  <si>
    <t>013302000450000</t>
  </si>
  <si>
    <t>髓内病变切除费（复杂）</t>
  </si>
  <si>
    <t>通过手术切除脊髓内复杂病变。</t>
  </si>
  <si>
    <r>
      <rPr>
        <sz val="12"/>
        <rFont val="宋体"/>
        <charset val="134"/>
      </rPr>
      <t>本项目所称</t>
    </r>
    <r>
      <rPr>
        <sz val="12"/>
        <rFont val="Times New Roman"/>
        <charset val="0"/>
      </rPr>
      <t>“</t>
    </r>
    <r>
      <rPr>
        <sz val="12"/>
        <rFont val="宋体"/>
        <charset val="134"/>
      </rPr>
      <t>复杂</t>
    </r>
    <r>
      <rPr>
        <sz val="12"/>
        <rFont val="Times New Roman"/>
        <charset val="0"/>
      </rPr>
      <t>”</t>
    </r>
    <r>
      <rPr>
        <sz val="12"/>
        <rFont val="宋体"/>
        <charset val="0"/>
      </rPr>
      <t>指：病变范围大于一个椎体长度、远离脊髓表面或位于脊髓前方、血管病变、多个病灶切除、病变弥散。</t>
    </r>
  </si>
  <si>
    <t>013302000450001</t>
  </si>
  <si>
    <r>
      <rPr>
        <sz val="12"/>
        <rFont val="宋体"/>
        <charset val="134"/>
      </rPr>
      <t>髓内病变切除费（复杂）</t>
    </r>
    <r>
      <rPr>
        <sz val="12"/>
        <rFont val="Times New Roman"/>
        <charset val="0"/>
      </rPr>
      <t>-</t>
    </r>
    <r>
      <rPr>
        <sz val="12"/>
        <rFont val="宋体"/>
        <charset val="134"/>
      </rPr>
      <t>儿童（加收）</t>
    </r>
  </si>
  <si>
    <t>013302000460000</t>
  </si>
  <si>
    <t>髓外病变切除费（常规）</t>
  </si>
  <si>
    <t>通过手术切除脊髓外病变。</t>
  </si>
  <si>
    <t>013302000460001</t>
  </si>
  <si>
    <r>
      <rPr>
        <sz val="12"/>
        <rFont val="宋体"/>
        <charset val="134"/>
      </rPr>
      <t>髓外病变切除费（常规）</t>
    </r>
    <r>
      <rPr>
        <sz val="12"/>
        <rFont val="Times New Roman"/>
        <charset val="0"/>
      </rPr>
      <t>-</t>
    </r>
    <r>
      <rPr>
        <sz val="12"/>
        <rFont val="宋体"/>
        <charset val="134"/>
      </rPr>
      <t>儿童（加收）</t>
    </r>
  </si>
  <si>
    <t>013302000470000</t>
  </si>
  <si>
    <t>髓外病变切除费（复杂）</t>
  </si>
  <si>
    <t>通过手术切除脊髓外复杂病变。</t>
  </si>
  <si>
    <r>
      <rPr>
        <sz val="12"/>
        <rFont val="宋体"/>
        <charset val="134"/>
      </rPr>
      <t>本项目所称</t>
    </r>
    <r>
      <rPr>
        <sz val="12"/>
        <rFont val="Times New Roman"/>
        <charset val="0"/>
      </rPr>
      <t>“</t>
    </r>
    <r>
      <rPr>
        <sz val="12"/>
        <rFont val="宋体"/>
        <charset val="134"/>
      </rPr>
      <t>复杂</t>
    </r>
    <r>
      <rPr>
        <sz val="12"/>
        <rFont val="Times New Roman"/>
        <charset val="0"/>
      </rPr>
      <t>”</t>
    </r>
    <r>
      <rPr>
        <sz val="12"/>
        <rFont val="宋体"/>
        <charset val="134"/>
      </rPr>
      <t>指：病变范围大于两个椎体长度、位于椎管前方、血管性病变、椎管内外沟通、病变弥散。</t>
    </r>
  </si>
  <si>
    <t>013302000470001</t>
  </si>
  <si>
    <r>
      <rPr>
        <sz val="12"/>
        <rFont val="宋体"/>
        <charset val="134"/>
      </rPr>
      <t>髓外病变切除费（复杂）</t>
    </r>
    <r>
      <rPr>
        <sz val="12"/>
        <rFont val="Times New Roman"/>
        <charset val="0"/>
      </rPr>
      <t>-</t>
    </r>
    <r>
      <rPr>
        <sz val="12"/>
        <rFont val="宋体"/>
        <charset val="134"/>
      </rPr>
      <t>儿童（加收）</t>
    </r>
  </si>
  <si>
    <t>013302000480000</t>
  </si>
  <si>
    <r>
      <rPr>
        <sz val="12"/>
        <rFont val="宋体"/>
        <charset val="134"/>
      </rPr>
      <t>颈动脉内</t>
    </r>
    <r>
      <rPr>
        <sz val="12"/>
        <rFont val="Times New Roman"/>
        <charset val="0"/>
      </rPr>
      <t>/</t>
    </r>
    <r>
      <rPr>
        <sz val="12"/>
        <rFont val="宋体"/>
        <charset val="134"/>
      </rPr>
      <t>外膜剥脱费</t>
    </r>
  </si>
  <si>
    <t>通过手术切除颈动脉内膜或外膜。</t>
  </si>
  <si>
    <r>
      <rPr>
        <sz val="12"/>
        <rFont val="宋体"/>
        <charset val="134"/>
      </rPr>
      <t>所定价格涵盖手术计划、术区准备、消毒铺巾、颈部血管暴露、颈动脉内</t>
    </r>
    <r>
      <rPr>
        <sz val="12"/>
        <rFont val="Times New Roman"/>
        <charset val="0"/>
      </rPr>
      <t>/</t>
    </r>
    <r>
      <rPr>
        <sz val="12"/>
        <rFont val="宋体"/>
        <charset val="134"/>
      </rPr>
      <t>外膜剥脱、缝合、关闭，必要时修补等步骤所需的人力资源和基本物质资源消耗。</t>
    </r>
  </si>
  <si>
    <t>013302000480001</t>
  </si>
  <si>
    <r>
      <rPr>
        <sz val="12"/>
        <rFont val="宋体"/>
        <charset val="134"/>
      </rPr>
      <t>颈动脉内</t>
    </r>
    <r>
      <rPr>
        <sz val="12"/>
        <rFont val="Times New Roman"/>
        <charset val="0"/>
      </rPr>
      <t>/</t>
    </r>
    <r>
      <rPr>
        <sz val="12"/>
        <rFont val="宋体"/>
        <charset val="134"/>
      </rPr>
      <t>外膜剥脱费</t>
    </r>
    <r>
      <rPr>
        <sz val="12"/>
        <rFont val="Times New Roman"/>
        <charset val="0"/>
      </rPr>
      <t>-</t>
    </r>
    <r>
      <rPr>
        <sz val="12"/>
        <rFont val="宋体"/>
        <charset val="134"/>
      </rPr>
      <t>儿童（加收）</t>
    </r>
  </si>
  <si>
    <t>013302000490000</t>
  </si>
  <si>
    <r>
      <rPr>
        <sz val="12"/>
        <rFont val="宋体"/>
        <charset val="134"/>
      </rPr>
      <t>椎动脉内</t>
    </r>
    <r>
      <rPr>
        <sz val="12"/>
        <rFont val="Times New Roman"/>
        <charset val="0"/>
      </rPr>
      <t>/</t>
    </r>
    <r>
      <rPr>
        <sz val="12"/>
        <rFont val="宋体"/>
        <charset val="134"/>
      </rPr>
      <t>外膜剥脱费</t>
    </r>
  </si>
  <si>
    <t>通过手术切除椎动脉内膜或外膜。</t>
  </si>
  <si>
    <r>
      <rPr>
        <sz val="12"/>
        <rFont val="宋体"/>
        <charset val="134"/>
      </rPr>
      <t>所定价格涵盖手术计划、术区准备、消毒铺巾、椎动脉暴露、椎动脉内</t>
    </r>
    <r>
      <rPr>
        <sz val="12"/>
        <rFont val="Times New Roman"/>
        <charset val="0"/>
      </rPr>
      <t>/</t>
    </r>
    <r>
      <rPr>
        <sz val="12"/>
        <rFont val="宋体"/>
        <charset val="134"/>
      </rPr>
      <t>外膜剥脱、缝合、关闭，必要时修补等步骤所需的人力资源和基本物质资源消耗。</t>
    </r>
  </si>
  <si>
    <t>013302000490001</t>
  </si>
  <si>
    <r>
      <rPr>
        <sz val="12"/>
        <rFont val="宋体"/>
        <charset val="134"/>
      </rPr>
      <t>椎动脉内</t>
    </r>
    <r>
      <rPr>
        <sz val="12"/>
        <rFont val="Times New Roman"/>
        <charset val="0"/>
      </rPr>
      <t>/</t>
    </r>
    <r>
      <rPr>
        <sz val="12"/>
        <rFont val="宋体"/>
        <charset val="134"/>
      </rPr>
      <t>外膜剥脱费</t>
    </r>
    <r>
      <rPr>
        <sz val="12"/>
        <rFont val="Times New Roman"/>
        <charset val="0"/>
      </rPr>
      <t>-</t>
    </r>
    <r>
      <rPr>
        <sz val="12"/>
        <rFont val="宋体"/>
        <charset val="134"/>
      </rPr>
      <t>儿童（加收）</t>
    </r>
  </si>
  <si>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</si>
  <si>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</si>
  <si>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</si>
  <si>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</si>
  <si>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</si>
  <si>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r>
      <rPr>
        <sz val="12"/>
        <rFont val="宋体"/>
        <charset val="134"/>
      </rPr>
      <t>颞肌颞浅动脉贴敷费</t>
    </r>
    <r>
      <rPr>
        <sz val="12"/>
        <rFont val="Times New Roman"/>
        <charset val="0"/>
      </rPr>
      <t>-</t>
    </r>
    <r>
      <rPr>
        <sz val="12"/>
        <rFont val="宋体"/>
        <charset val="134"/>
      </rPr>
      <t>儿童（加收）</t>
    </r>
  </si>
  <si>
    <t>013302000510000</t>
  </si>
  <si>
    <t>颈部动脉结扎费</t>
  </si>
  <si>
    <t>通过手术结扎颈部动脉。</t>
  </si>
  <si>
    <t>所定价格涵盖手术计划、术区准备、消毒铺巾、定位、颈部动脉结扎、缝合等步骤所需的人力资源和基本物质资源消耗。</t>
  </si>
  <si>
    <t>013302000510001</t>
  </si>
  <si>
    <r>
      <rPr>
        <sz val="12"/>
        <rFont val="宋体"/>
        <charset val="134"/>
      </rPr>
      <t>颈部动脉结扎费</t>
    </r>
    <r>
      <rPr>
        <sz val="12"/>
        <rFont val="Times New Roman"/>
        <charset val="0"/>
      </rPr>
      <t>-</t>
    </r>
    <r>
      <rPr>
        <sz val="12"/>
        <rFont val="宋体"/>
        <charset val="134"/>
      </rPr>
      <t>儿童（加收）</t>
    </r>
  </si>
  <si>
    <t>013101000050000</t>
  </si>
  <si>
    <t>神经阻滞治疗费</t>
  </si>
  <si>
    <t>通过物理压迫或化学毁损的方式阻断神经传递信号。</t>
  </si>
  <si>
    <t>所定价格涵盖术区准备、定位、消毒铺巾、压迫、注药、观察、记录等步骤所需的人力资源和基本物质资源消耗。</t>
  </si>
  <si>
    <t>013101000050001</t>
  </si>
  <si>
    <r>
      <rPr>
        <sz val="12"/>
        <rFont val="宋体"/>
        <charset val="134"/>
      </rPr>
      <t>神经阻滞治疗费</t>
    </r>
    <r>
      <rPr>
        <sz val="12"/>
        <rFont val="Times New Roman"/>
        <charset val="0"/>
      </rPr>
      <t>-</t>
    </r>
    <r>
      <rPr>
        <sz val="12"/>
        <rFont val="宋体"/>
        <charset val="134"/>
      </rPr>
      <t>三叉神经节（加收）</t>
    </r>
  </si>
  <si>
    <t>013302000520000</t>
  </si>
  <si>
    <t>颅神经切断费</t>
  </si>
  <si>
    <t>通过手术全部或部分切除颅神经。</t>
  </si>
  <si>
    <t>所定价格涵盖手术计划、术区准备、消毒铺巾、定位、开颅、探查、神经切断、关颅等步骤所需的人力资源和基本物质资源消耗。</t>
  </si>
  <si>
    <r>
      <rPr>
        <sz val="12"/>
        <rFont val="Times New Roman"/>
        <charset val="0"/>
      </rPr>
      <t>1.</t>
    </r>
    <r>
      <rPr>
        <sz val="12"/>
        <rFont val="宋体"/>
        <charset val="134"/>
      </rPr>
      <t>本项目所称</t>
    </r>
    <r>
      <rPr>
        <sz val="12"/>
        <rFont val="Times New Roman"/>
        <charset val="0"/>
      </rPr>
      <t>“</t>
    </r>
    <r>
      <rPr>
        <sz val="12"/>
        <rFont val="宋体"/>
        <charset val="134"/>
      </rPr>
      <t>颅神经</t>
    </r>
    <r>
      <rPr>
        <sz val="12"/>
        <rFont val="Times New Roman"/>
        <charset val="0"/>
      </rPr>
      <t>”</t>
    </r>
    <r>
      <rPr>
        <sz val="12"/>
        <rFont val="宋体"/>
        <charset val="134"/>
      </rPr>
      <t>指：位于颅内和颅底、眼眶、颈深部的十二对颅神经部分。</t>
    </r>
    <r>
      <rPr>
        <sz val="12"/>
        <rFont val="Times New Roman"/>
        <charset val="0"/>
      </rPr>
      <t xml:space="preserve">
2.</t>
    </r>
    <r>
      <rPr>
        <sz val="12"/>
        <rFont val="宋体"/>
        <charset val="134"/>
      </rPr>
      <t>同一神经切断费不得与松解费同时收取。</t>
    </r>
  </si>
  <si>
    <t>013302000520001</t>
  </si>
  <si>
    <r>
      <rPr>
        <sz val="12"/>
        <rFont val="宋体"/>
        <charset val="134"/>
      </rPr>
      <t>颅神经切断费</t>
    </r>
    <r>
      <rPr>
        <sz val="12"/>
        <rFont val="Times New Roman"/>
        <charset val="0"/>
      </rPr>
      <t>-</t>
    </r>
    <r>
      <rPr>
        <sz val="12"/>
        <rFont val="宋体"/>
        <charset val="134"/>
      </rPr>
      <t>儿童（加收）</t>
    </r>
  </si>
  <si>
    <t>013302000530000</t>
  </si>
  <si>
    <t>脊髓及脊神经切断费</t>
  </si>
  <si>
    <t>通过手术切断部分脊髓和（或）脊神经。</t>
  </si>
  <si>
    <t>所定价格涵盖手术计划、术区准备、消毒铺巾、定位、切开、探查、神经切断、缝合等步骤所需的人力资源和基本物质资源消耗。</t>
  </si>
  <si>
    <r>
      <rPr>
        <sz val="12"/>
        <rFont val="Times New Roman"/>
        <charset val="0"/>
      </rPr>
      <t>1.</t>
    </r>
    <r>
      <rPr>
        <sz val="12"/>
        <rFont val="宋体"/>
        <charset val="134"/>
      </rPr>
      <t>本项目所称</t>
    </r>
    <r>
      <rPr>
        <sz val="12"/>
        <rFont val="Times New Roman"/>
        <charset val="0"/>
      </rPr>
      <t>“</t>
    </r>
    <r>
      <rPr>
        <sz val="12"/>
        <rFont val="宋体"/>
        <charset val="134"/>
      </rPr>
      <t>脊髓及脊神经</t>
    </r>
    <r>
      <rPr>
        <sz val="12"/>
        <rFont val="Times New Roman"/>
        <charset val="0"/>
      </rPr>
      <t>”</t>
    </r>
    <r>
      <rPr>
        <sz val="12"/>
        <rFont val="宋体"/>
        <charset val="134"/>
      </rPr>
      <t>指：位于椎管内及椎间孔周围的脊神经部分。</t>
    </r>
    <r>
      <rPr>
        <sz val="12"/>
        <rFont val="Times New Roman"/>
        <charset val="0"/>
      </rPr>
      <t xml:space="preserve">
2.</t>
    </r>
    <r>
      <rPr>
        <sz val="12"/>
        <rFont val="宋体"/>
        <charset val="134"/>
      </rPr>
      <t>同一神经切断费不得与松解费同时收取。</t>
    </r>
  </si>
  <si>
    <t>013302000530001</t>
  </si>
  <si>
    <r>
      <rPr>
        <sz val="12"/>
        <rFont val="宋体"/>
        <charset val="134"/>
      </rPr>
      <t>脊髓及脊神经切断费</t>
    </r>
    <r>
      <rPr>
        <sz val="12"/>
        <rFont val="Times New Roman"/>
        <charset val="0"/>
      </rPr>
      <t>-</t>
    </r>
    <r>
      <rPr>
        <sz val="12"/>
        <rFont val="宋体"/>
        <charset val="134"/>
      </rPr>
      <t>儿童（加收）</t>
    </r>
  </si>
  <si>
    <t>013302000540000</t>
  </si>
  <si>
    <t>内脏神经切断费</t>
  </si>
  <si>
    <t>通过手术全部或部分切除内脏神经。</t>
  </si>
  <si>
    <r>
      <rPr>
        <sz val="12"/>
        <rFont val="Times New Roman"/>
        <charset val="0"/>
      </rPr>
      <t>1.</t>
    </r>
    <r>
      <rPr>
        <sz val="12"/>
        <rFont val="宋体"/>
        <charset val="134"/>
      </rPr>
      <t>本项目所称</t>
    </r>
    <r>
      <rPr>
        <sz val="12"/>
        <rFont val="Times New Roman"/>
        <charset val="0"/>
      </rPr>
      <t>“</t>
    </r>
    <r>
      <rPr>
        <sz val="12"/>
        <rFont val="宋体"/>
        <charset val="134"/>
      </rPr>
      <t>内脏神经</t>
    </r>
    <r>
      <rPr>
        <sz val="12"/>
        <rFont val="Times New Roman"/>
        <charset val="0"/>
      </rPr>
      <t>”</t>
    </r>
    <r>
      <rPr>
        <sz val="12"/>
        <rFont val="宋体"/>
        <charset val="134"/>
      </rPr>
      <t>指：分布在胸腔、腹腔及盆腔脏器的神经。</t>
    </r>
    <r>
      <rPr>
        <sz val="12"/>
        <rFont val="Times New Roman"/>
        <charset val="0"/>
      </rPr>
      <t xml:space="preserve">
2.</t>
    </r>
    <r>
      <rPr>
        <sz val="12"/>
        <rFont val="宋体"/>
        <charset val="134"/>
      </rPr>
      <t>同一神经切断费不得与松解费同时收取。</t>
    </r>
  </si>
  <si>
    <t>013302000540001</t>
  </si>
  <si>
    <r>
      <rPr>
        <sz val="12"/>
        <rFont val="宋体"/>
        <charset val="134"/>
      </rPr>
      <t>内脏神经切断费</t>
    </r>
    <r>
      <rPr>
        <sz val="12"/>
        <rFont val="Times New Roman"/>
        <charset val="0"/>
      </rPr>
      <t>-</t>
    </r>
    <r>
      <rPr>
        <sz val="12"/>
        <rFont val="宋体"/>
        <charset val="134"/>
      </rPr>
      <t>儿童（加收）</t>
    </r>
  </si>
  <si>
    <t>013302000550000</t>
  </si>
  <si>
    <t>周围神经切断费</t>
  </si>
  <si>
    <t>通过手术全部或部分切除周围神经。</t>
  </si>
  <si>
    <r>
      <rPr>
        <sz val="12"/>
        <rFont val="Times New Roman"/>
        <charset val="0"/>
      </rPr>
      <t>1.</t>
    </r>
    <r>
      <rPr>
        <sz val="12"/>
        <rFont val="宋体"/>
        <charset val="134"/>
      </rPr>
      <t>本项目所称</t>
    </r>
    <r>
      <rPr>
        <sz val="12"/>
        <rFont val="Times New Roman"/>
        <charset val="0"/>
      </rPr>
      <t>“</t>
    </r>
    <r>
      <rPr>
        <sz val="12"/>
        <rFont val="宋体"/>
        <charset val="134"/>
      </rPr>
      <t>周围神经</t>
    </r>
    <r>
      <rPr>
        <sz val="12"/>
        <rFont val="Times New Roman"/>
        <charset val="0"/>
      </rPr>
      <t>”</t>
    </r>
    <r>
      <rPr>
        <sz val="12"/>
        <rFont val="宋体"/>
        <charset val="134"/>
      </rPr>
      <t>指：位于头面部、躯干及四肢的颅神经和脊神经主干或分支。</t>
    </r>
    <r>
      <rPr>
        <sz val="12"/>
        <rFont val="Times New Roman"/>
        <charset val="0"/>
      </rPr>
      <t xml:space="preserve">
2.</t>
    </r>
    <r>
      <rPr>
        <sz val="12"/>
        <rFont val="宋体"/>
        <charset val="134"/>
      </rPr>
      <t>同一神经切断费不得与松解费同时收取。</t>
    </r>
  </si>
  <si>
    <t>013302000550001</t>
  </si>
  <si>
    <r>
      <rPr>
        <sz val="12"/>
        <rFont val="宋体"/>
        <charset val="134"/>
      </rPr>
      <t>周围神经切断费</t>
    </r>
    <r>
      <rPr>
        <sz val="12"/>
        <rFont val="Times New Roman"/>
        <charset val="0"/>
      </rPr>
      <t>-</t>
    </r>
    <r>
      <rPr>
        <sz val="12"/>
        <rFont val="宋体"/>
        <charset val="134"/>
      </rPr>
      <t>儿童（加收）</t>
    </r>
  </si>
  <si>
    <t>013302000560000</t>
  </si>
  <si>
    <t>颅神经松解费</t>
  </si>
  <si>
    <t>通过手术松解颅神经粘连。</t>
  </si>
  <si>
    <t>所定价格涵盖手术计划、术区准备、消毒铺巾、定位、开颅、松解及梳理、关颅等步骤所需的人力资源和基本物质资源消耗。</t>
  </si>
  <si>
    <r>
      <rPr>
        <sz val="12"/>
        <rFont val="Times New Roman"/>
        <charset val="0"/>
      </rPr>
      <t>1.</t>
    </r>
    <r>
      <rPr>
        <sz val="12"/>
        <rFont val="宋体"/>
        <charset val="134"/>
      </rPr>
      <t>本项目所称</t>
    </r>
    <r>
      <rPr>
        <sz val="12"/>
        <rFont val="Times New Roman"/>
        <charset val="0"/>
      </rPr>
      <t>“</t>
    </r>
    <r>
      <rPr>
        <sz val="12"/>
        <rFont val="宋体"/>
        <charset val="134"/>
      </rPr>
      <t>颅神经</t>
    </r>
    <r>
      <rPr>
        <sz val="12"/>
        <rFont val="Times New Roman"/>
        <charset val="0"/>
      </rPr>
      <t>”</t>
    </r>
    <r>
      <rPr>
        <sz val="12"/>
        <rFont val="宋体"/>
        <charset val="134"/>
      </rPr>
      <t>指：位于颅内和颅底、眼眶、颈深部的十二对颅神经部分。</t>
    </r>
    <r>
      <rPr>
        <sz val="12"/>
        <rFont val="Times New Roman"/>
        <charset val="0"/>
      </rPr>
      <t xml:space="preserve">
2.</t>
    </r>
    <r>
      <rPr>
        <sz val="12"/>
        <rFont val="宋体"/>
        <charset val="134"/>
      </rPr>
      <t>同一神经松解费不得与切断费同时收取。</t>
    </r>
  </si>
  <si>
    <t>013302000560001</t>
  </si>
  <si>
    <r>
      <rPr>
        <sz val="12"/>
        <rFont val="宋体"/>
        <charset val="134"/>
      </rPr>
      <t>颅神经松解费</t>
    </r>
    <r>
      <rPr>
        <sz val="12"/>
        <rFont val="Times New Roman"/>
        <charset val="0"/>
      </rPr>
      <t>-</t>
    </r>
    <r>
      <rPr>
        <sz val="12"/>
        <rFont val="宋体"/>
        <charset val="134"/>
      </rPr>
      <t>儿童（加收）</t>
    </r>
  </si>
  <si>
    <t>013302000570000</t>
  </si>
  <si>
    <t>脊髓及神经根松解费</t>
  </si>
  <si>
    <t>通过手术松解脊髓及神经根粘连。</t>
  </si>
  <si>
    <t>所定价格涵盖手术计划、术区准备、消毒铺巾、定位、切开、松解及梳理、缝合等步骤所需的人力资源和基本物质资源消耗。</t>
  </si>
  <si>
    <r>
      <rPr>
        <sz val="12"/>
        <rFont val="Times New Roman"/>
        <charset val="0"/>
      </rPr>
      <t>1.</t>
    </r>
    <r>
      <rPr>
        <sz val="12"/>
        <rFont val="宋体"/>
        <charset val="134"/>
      </rPr>
      <t>本项目所称</t>
    </r>
    <r>
      <rPr>
        <sz val="12"/>
        <rFont val="Times New Roman"/>
        <charset val="0"/>
      </rPr>
      <t>“</t>
    </r>
    <r>
      <rPr>
        <sz val="12"/>
        <rFont val="宋体"/>
        <charset val="134"/>
      </rPr>
      <t>脊髓及脊神经</t>
    </r>
    <r>
      <rPr>
        <sz val="12"/>
        <rFont val="Times New Roman"/>
        <charset val="0"/>
      </rPr>
      <t>”</t>
    </r>
    <r>
      <rPr>
        <sz val="12"/>
        <rFont val="宋体"/>
        <charset val="134"/>
      </rPr>
      <t>指：位于椎管内及椎间孔周围的脊神经部分。</t>
    </r>
    <r>
      <rPr>
        <sz val="12"/>
        <rFont val="Times New Roman"/>
        <charset val="0"/>
      </rPr>
      <t xml:space="preserve">
2.</t>
    </r>
    <r>
      <rPr>
        <sz val="12"/>
        <rFont val="宋体"/>
        <charset val="134"/>
      </rPr>
      <t>同一神经松解费不得与切断费同时收取。</t>
    </r>
  </si>
  <si>
    <t>013302000570001</t>
  </si>
  <si>
    <r>
      <rPr>
        <sz val="12"/>
        <rFont val="宋体"/>
        <charset val="134"/>
      </rPr>
      <t>脊髓及神经根松解费</t>
    </r>
    <r>
      <rPr>
        <sz val="12"/>
        <rFont val="Times New Roman"/>
        <charset val="0"/>
      </rPr>
      <t>-</t>
    </r>
    <r>
      <rPr>
        <sz val="12"/>
        <rFont val="宋体"/>
        <charset val="134"/>
      </rPr>
      <t>儿童（加收）</t>
    </r>
  </si>
  <si>
    <t>013302000580000</t>
  </si>
  <si>
    <t>内脏神经松解费</t>
  </si>
  <si>
    <t>通过手术松解内脏神经粘连。</t>
  </si>
  <si>
    <r>
      <rPr>
        <sz val="12"/>
        <rFont val="Times New Roman"/>
        <charset val="0"/>
      </rPr>
      <t>1.</t>
    </r>
    <r>
      <rPr>
        <sz val="12"/>
        <rFont val="宋体"/>
        <charset val="134"/>
      </rPr>
      <t>本项目所称</t>
    </r>
    <r>
      <rPr>
        <sz val="12"/>
        <rFont val="Times New Roman"/>
        <charset val="0"/>
      </rPr>
      <t>“</t>
    </r>
    <r>
      <rPr>
        <sz val="12"/>
        <rFont val="宋体"/>
        <charset val="134"/>
      </rPr>
      <t>内脏神经</t>
    </r>
    <r>
      <rPr>
        <sz val="12"/>
        <rFont val="Times New Roman"/>
        <charset val="0"/>
      </rPr>
      <t>”</t>
    </r>
    <r>
      <rPr>
        <sz val="12"/>
        <rFont val="宋体"/>
        <charset val="134"/>
      </rPr>
      <t>指：分布在胸腔、腹腔及盆腔脏器的神经。</t>
    </r>
    <r>
      <rPr>
        <sz val="12"/>
        <rFont val="Times New Roman"/>
        <charset val="0"/>
      </rPr>
      <t xml:space="preserve">
2.</t>
    </r>
    <r>
      <rPr>
        <sz val="12"/>
        <rFont val="宋体"/>
        <charset val="134"/>
      </rPr>
      <t>同一神经松解费不得与切断费同时收取。</t>
    </r>
  </si>
  <si>
    <t>013302000580001</t>
  </si>
  <si>
    <r>
      <rPr>
        <sz val="12"/>
        <rFont val="宋体"/>
        <charset val="134"/>
      </rPr>
      <t>内脏神经松解费</t>
    </r>
    <r>
      <rPr>
        <sz val="12"/>
        <rFont val="Times New Roman"/>
        <charset val="0"/>
      </rPr>
      <t>-</t>
    </r>
    <r>
      <rPr>
        <sz val="12"/>
        <rFont val="宋体"/>
        <charset val="134"/>
      </rPr>
      <t>儿童（加收）</t>
    </r>
  </si>
  <si>
    <t>013302000590000</t>
  </si>
  <si>
    <t>周围神经松解费</t>
  </si>
  <si>
    <t>通过手术松解周围神经粘连。</t>
  </si>
  <si>
    <r>
      <rPr>
        <sz val="12"/>
        <rFont val="Times New Roman"/>
        <charset val="0"/>
      </rPr>
      <t>1.</t>
    </r>
    <r>
      <rPr>
        <sz val="12"/>
        <rFont val="宋体"/>
        <charset val="134"/>
      </rPr>
      <t>本项目所称</t>
    </r>
    <r>
      <rPr>
        <sz val="12"/>
        <rFont val="Times New Roman"/>
        <charset val="0"/>
      </rPr>
      <t>“</t>
    </r>
    <r>
      <rPr>
        <sz val="12"/>
        <rFont val="宋体"/>
        <charset val="134"/>
      </rPr>
      <t>周围神经</t>
    </r>
    <r>
      <rPr>
        <sz val="12"/>
        <rFont val="Times New Roman"/>
        <charset val="0"/>
      </rPr>
      <t>”</t>
    </r>
    <r>
      <rPr>
        <sz val="12"/>
        <rFont val="宋体"/>
        <charset val="134"/>
      </rPr>
      <t>指：位于头面部、躯干的颅神经和脊神经主干或分支。</t>
    </r>
    <r>
      <rPr>
        <sz val="12"/>
        <rFont val="Times New Roman"/>
        <charset val="0"/>
      </rPr>
      <t xml:space="preserve">
2.</t>
    </r>
    <r>
      <rPr>
        <sz val="12"/>
        <rFont val="宋体"/>
        <charset val="134"/>
      </rPr>
      <t>同一神经松解费不得与切断费同时收取。</t>
    </r>
    <r>
      <rPr>
        <sz val="12"/>
        <rFont val="Times New Roman"/>
        <charset val="0"/>
      </rPr>
      <t xml:space="preserve">
3.</t>
    </r>
    <r>
      <rPr>
        <sz val="12"/>
        <rFont val="宋体"/>
        <charset val="134"/>
      </rPr>
      <t>肢体神经松解按照骨骼肌肉系统类立项指南中的</t>
    </r>
    <r>
      <rPr>
        <sz val="12"/>
        <rFont val="Times New Roman"/>
        <charset val="0"/>
      </rPr>
      <t>“</t>
    </r>
    <r>
      <rPr>
        <sz val="12"/>
        <rFont val="宋体"/>
        <charset val="134"/>
      </rPr>
      <t>肢体神经松解费</t>
    </r>
    <r>
      <rPr>
        <sz val="12"/>
        <rFont val="Times New Roman"/>
        <charset val="0"/>
      </rPr>
      <t>”</t>
    </r>
    <r>
      <rPr>
        <sz val="12"/>
        <rFont val="宋体"/>
        <charset val="134"/>
      </rPr>
      <t>收取。</t>
    </r>
  </si>
  <si>
    <t>013302000590001</t>
  </si>
  <si>
    <r>
      <rPr>
        <sz val="12"/>
        <rFont val="宋体"/>
        <charset val="134"/>
      </rPr>
      <t>周围神经松解费</t>
    </r>
    <r>
      <rPr>
        <sz val="12"/>
        <rFont val="Times New Roman"/>
        <charset val="0"/>
      </rPr>
      <t>-</t>
    </r>
    <r>
      <rPr>
        <sz val="12"/>
        <rFont val="宋体"/>
        <charset val="134"/>
      </rPr>
      <t>儿童（加收）</t>
    </r>
  </si>
  <si>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</si>
  <si>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</si>
  <si>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</si>
  <si>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</si>
  <si>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</si>
  <si>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r>
      <rPr>
        <sz val="12"/>
        <rFont val="宋体"/>
        <charset val="134"/>
      </rPr>
      <t>颅神经修复吻合费</t>
    </r>
    <r>
      <rPr>
        <sz val="12"/>
        <rFont val="Times New Roman"/>
        <charset val="0"/>
      </rPr>
      <t>-</t>
    </r>
    <r>
      <rPr>
        <sz val="12"/>
        <rFont val="宋体"/>
        <charset val="134"/>
      </rPr>
      <t>儿童（加收）</t>
    </r>
  </si>
  <si>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</si>
  <si>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</si>
  <si>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</si>
  <si>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</si>
  <si>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</si>
  <si>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r>
      <rPr>
        <sz val="12"/>
        <rFont val="宋体"/>
        <charset val="134"/>
      </rPr>
      <t>周围神经修复吻合费</t>
    </r>
    <r>
      <rPr>
        <sz val="12"/>
        <rFont val="Times New Roman"/>
        <charset val="0"/>
      </rPr>
      <t>-</t>
    </r>
    <r>
      <rPr>
        <sz val="12"/>
        <rFont val="宋体"/>
        <charset val="134"/>
      </rPr>
      <t>儿童（加收）</t>
    </r>
  </si>
  <si>
    <t>012411000010000</t>
  </si>
  <si>
    <t>肾盂内压检查费</t>
  </si>
  <si>
    <t>通过各种方式测定肾盂内压，辅助判断肾盂输尿管连接部是否存在梗阻。</t>
  </si>
  <si>
    <t>所定价格涵盖放置导管、注射、观察记录、出具报告、处理用物等步骤所需的人力资源和基本物质资源消耗。</t>
  </si>
  <si>
    <r>
      <rPr>
        <sz val="12"/>
        <rFont val="Times New Roman"/>
        <charset val="0"/>
      </rPr>
      <t>“</t>
    </r>
    <r>
      <rPr>
        <sz val="12"/>
        <rFont val="宋体"/>
        <charset val="134"/>
      </rPr>
      <t>次</t>
    </r>
    <r>
      <rPr>
        <sz val="12"/>
        <rFont val="Times New Roman"/>
        <charset val="0"/>
      </rPr>
      <t>”</t>
    </r>
    <r>
      <rPr>
        <sz val="12"/>
        <rFont val="宋体"/>
        <charset val="134"/>
      </rPr>
      <t>指双侧，单侧检查按</t>
    </r>
    <r>
      <rPr>
        <sz val="12"/>
        <rFont val="Times New Roman"/>
        <charset val="0"/>
      </rPr>
      <t>50%</t>
    </r>
    <r>
      <rPr>
        <sz val="12"/>
        <rFont val="宋体"/>
        <charset val="134"/>
      </rPr>
      <t>收取。</t>
    </r>
  </si>
  <si>
    <t>泌尿系统类</t>
  </si>
  <si>
    <t>012411000020000</t>
  </si>
  <si>
    <t>尿流动力学检查费</t>
  </si>
  <si>
    <t>通过各种方式对尿路功能状态进行评估，辅助诊断尿路功能障碍性疾病。</t>
  </si>
  <si>
    <t>所定价格涵盖检测尿流率与动力学、出具报告、处理用物等步骤所需的人力资源和基本物质资源消耗。</t>
  </si>
  <si>
    <t>012411000030000</t>
  </si>
  <si>
    <t>泌尿系镜检查费（肾镜）</t>
  </si>
  <si>
    <t>通过肾镜观察和诊断泌尿系统疾病。</t>
  </si>
  <si>
    <t>所定价格涵盖消毒、插管、扩张通道、观察、出具报告、处理用物、必要时穿刺等步骤所需的人力资源和基本物质资源消耗。</t>
  </si>
  <si>
    <t>012411000040000</t>
  </si>
  <si>
    <t>泌尿系镜检查费（输尿管镜）</t>
  </si>
  <si>
    <t>通过输尿管镜观察和诊断泌尿系统疾病。</t>
  </si>
  <si>
    <t>所定价格涵盖消毒、插管、扩张通道、观察、出具报告、处理用物等步骤所需的人力资源和基本物质资源消耗。</t>
  </si>
  <si>
    <t>012411000040100</t>
  </si>
  <si>
    <r>
      <rPr>
        <sz val="12"/>
        <rFont val="宋体"/>
        <charset val="134"/>
      </rPr>
      <t>泌尿系镜检查费（输尿管镜）</t>
    </r>
    <r>
      <rPr>
        <sz val="12"/>
        <rFont val="Times New Roman"/>
        <charset val="0"/>
      </rPr>
      <t>-</t>
    </r>
    <r>
      <rPr>
        <sz val="12"/>
        <rFont val="宋体"/>
        <charset val="134"/>
      </rPr>
      <t>精囊镜检查（扩展）</t>
    </r>
  </si>
  <si>
    <t>012411000050000</t>
  </si>
  <si>
    <t>泌尿系镜检查费（膀胱镜尿道镜）</t>
  </si>
  <si>
    <t>通过膀胱镜尿道镜观察和诊断泌尿系统疾病。</t>
  </si>
  <si>
    <t>012412000010000</t>
  </si>
  <si>
    <t>性刺激勃起检查费</t>
  </si>
  <si>
    <t>通过各种方式对患者在各类性刺激环境下勃起次数、持续时间、硬度分级等情况进行监测。</t>
  </si>
  <si>
    <t>所定价格涵盖消毒、设备准备、刺激、监测、读取结果、出具报告、处理用物等步骤所需的人力资源和基本物质资源消耗。</t>
  </si>
  <si>
    <t>012412000020000</t>
  </si>
  <si>
    <t>阴茎勃起检查费</t>
  </si>
  <si>
    <t>对患者夜间或模拟夜间环境下勃起次数、持续时间、硬度分级等情况进行监测。</t>
  </si>
  <si>
    <t>所定价格涵盖消毒、设备准备、监测、读取结果、出具报告、处理用物等步骤所需的人力资源和基本物质资源消耗。</t>
  </si>
  <si>
    <t>012412000030000</t>
  </si>
  <si>
    <t>阴茎超声血流图检查费</t>
  </si>
  <si>
    <t>对患者阴茎海绵体内血流情况进行检测。</t>
  </si>
  <si>
    <t>所定价格涵盖消毒、设备准备、检测、诊断、出具报告、处理用物等步骤所需的人力资源和基本物质资源消耗。</t>
  </si>
  <si>
    <t>012412000040000</t>
  </si>
  <si>
    <t>阴茎勃起神经检查费</t>
  </si>
  <si>
    <t>通过各种方式对患者勃起相关神经进行检测。</t>
  </si>
  <si>
    <t>所定价格涵盖消毒、设备准备、检测、读取结果、出具报告、处理用物等步骤所需的人力资源和基本物质资源消耗。</t>
  </si>
  <si>
    <t>013110000190000</t>
  </si>
  <si>
    <t>体外冲击波碎石费</t>
  </si>
  <si>
    <t>通过冲击波聚焦能量，裂解尿路结石，便于结石排出。</t>
  </si>
  <si>
    <t>所定价格涵盖体位摆放、机器校准、能量释放、结石裂解、排出体外等步骤所需的人力资源和基本物质资源消耗。</t>
  </si>
  <si>
    <r>
      <rPr>
        <sz val="12"/>
        <rFont val="宋体"/>
        <charset val="134"/>
      </rPr>
      <t>超过</t>
    </r>
    <r>
      <rPr>
        <sz val="12"/>
        <rFont val="Times New Roman"/>
        <charset val="0"/>
      </rPr>
      <t>4</t>
    </r>
    <r>
      <rPr>
        <sz val="12"/>
        <rFont val="宋体"/>
        <charset val="134"/>
      </rPr>
      <t>次按</t>
    </r>
    <r>
      <rPr>
        <sz val="12"/>
        <rFont val="Times New Roman"/>
        <charset val="0"/>
      </rPr>
      <t>4</t>
    </r>
    <r>
      <rPr>
        <sz val="12"/>
        <rFont val="宋体"/>
        <charset val="134"/>
      </rPr>
      <t>次收费。</t>
    </r>
  </si>
  <si>
    <t>013110000200000</t>
  </si>
  <si>
    <t>泌尿系镜下治疗费（常规）</t>
  </si>
  <si>
    <t>通过置物、取物等方式对泌尿系统及男性生殖系统病灶进行治疗。</t>
  </si>
  <si>
    <t>所定价格涵盖消毒、下镜、治疗、撤镜等步骤所需的人力资源和基本物质资源消耗。（不含泌尿系镜下检查）</t>
  </si>
  <si>
    <r>
      <rPr>
        <sz val="12"/>
        <rFont val="宋体"/>
        <charset val="134"/>
      </rPr>
      <t>同时行常规治疗和特殊治疗的，按照</t>
    </r>
    <r>
      <rPr>
        <sz val="12"/>
        <rFont val="Times New Roman"/>
        <charset val="0"/>
      </rPr>
      <t>“</t>
    </r>
    <r>
      <rPr>
        <sz val="12"/>
        <rFont val="宋体"/>
        <charset val="134"/>
      </rPr>
      <t>泌尿系镜下治疗费（特殊）</t>
    </r>
    <r>
      <rPr>
        <sz val="12"/>
        <rFont val="Times New Roman"/>
        <charset val="0"/>
      </rPr>
      <t>”</t>
    </r>
    <r>
      <rPr>
        <sz val="12"/>
        <rFont val="宋体"/>
        <charset val="134"/>
      </rPr>
      <t>收取。</t>
    </r>
  </si>
  <si>
    <t>013110000210000</t>
  </si>
  <si>
    <t>泌尿系镜下治疗费（特殊）</t>
  </si>
  <si>
    <t>通过电凝、冷冻、蒸汽、射频、微波等各种物理方式对泌尿系统及男性生殖系统病灶进行治疗。</t>
  </si>
  <si>
    <t>所定价格涵盖消毒、下镜、治疗、取出、撤镜等步骤所需的人力资源和基本物质资源消耗。（不含泌尿系镜下检查）</t>
  </si>
  <si>
    <r>
      <rPr>
        <sz val="12"/>
        <rFont val="Times New Roman"/>
        <charset val="0"/>
      </rPr>
      <t>1.</t>
    </r>
    <r>
      <rPr>
        <sz val="12"/>
        <rFont val="宋体"/>
        <charset val="134"/>
      </rPr>
      <t>同一治疗位置使用多种能量源只可收取一次。</t>
    </r>
    <r>
      <rPr>
        <sz val="12"/>
        <rFont val="Times New Roman"/>
        <charset val="0"/>
      </rPr>
      <t xml:space="preserve">
2.</t>
    </r>
    <r>
      <rPr>
        <sz val="12"/>
        <rFont val="宋体"/>
        <charset val="134"/>
      </rPr>
      <t>同时行常规治疗和特殊治疗的，按照</t>
    </r>
    <r>
      <rPr>
        <sz val="12"/>
        <rFont val="Times New Roman"/>
        <charset val="0"/>
      </rPr>
      <t>“</t>
    </r>
    <r>
      <rPr>
        <sz val="12"/>
        <rFont val="宋体"/>
        <charset val="134"/>
      </rPr>
      <t>泌尿系镜下治疗费（特殊）</t>
    </r>
    <r>
      <rPr>
        <sz val="12"/>
        <rFont val="Times New Roman"/>
        <charset val="0"/>
      </rPr>
      <t>”</t>
    </r>
    <r>
      <rPr>
        <sz val="12"/>
        <rFont val="宋体"/>
        <charset val="134"/>
      </rPr>
      <t>收取。</t>
    </r>
  </si>
  <si>
    <t>013311000040000</t>
  </si>
  <si>
    <t>泌尿系异物取出费</t>
  </si>
  <si>
    <t>通过手术从下尿路取出异物。</t>
  </si>
  <si>
    <t>所定价格涵盖手术计划、术区准备、消毒、取出异物、缝合、处理用物等步骤所需的人力资源和基本物质资源消耗。</t>
  </si>
  <si>
    <r>
      <rPr>
        <sz val="12"/>
        <rFont val="宋体"/>
        <charset val="134"/>
      </rPr>
      <t>本项目中的</t>
    </r>
    <r>
      <rPr>
        <sz val="12"/>
        <rFont val="Times New Roman"/>
        <charset val="0"/>
      </rPr>
      <t>“</t>
    </r>
    <r>
      <rPr>
        <sz val="12"/>
        <rFont val="宋体"/>
        <charset val="134"/>
      </rPr>
      <t>上尿路</t>
    </r>
    <r>
      <rPr>
        <sz val="12"/>
        <rFont val="Times New Roman"/>
        <charset val="0"/>
      </rPr>
      <t>”</t>
    </r>
    <r>
      <rPr>
        <sz val="12"/>
        <rFont val="宋体"/>
        <charset val="134"/>
      </rPr>
      <t>指：肾脏及输尿管。</t>
    </r>
  </si>
  <si>
    <t>013311000040001</t>
  </si>
  <si>
    <r>
      <rPr>
        <sz val="12"/>
        <rFont val="宋体"/>
        <charset val="134"/>
      </rPr>
      <t>泌尿系异物取出费</t>
    </r>
    <r>
      <rPr>
        <sz val="12"/>
        <rFont val="Times New Roman"/>
        <charset val="0"/>
      </rPr>
      <t>-</t>
    </r>
    <r>
      <rPr>
        <sz val="12"/>
        <rFont val="宋体"/>
        <charset val="134"/>
      </rPr>
      <t>上尿路（加收）</t>
    </r>
  </si>
  <si>
    <t>013311000040011</t>
  </si>
  <si>
    <r>
      <rPr>
        <sz val="12"/>
        <rFont val="宋体"/>
        <charset val="134"/>
      </rPr>
      <t>泌尿系异物取出费</t>
    </r>
    <r>
      <rPr>
        <sz val="12"/>
        <rFont val="Times New Roman"/>
        <charset val="0"/>
      </rPr>
      <t>-</t>
    </r>
    <r>
      <rPr>
        <sz val="12"/>
        <rFont val="宋体"/>
        <charset val="134"/>
      </rPr>
      <t>儿童（加收）</t>
    </r>
  </si>
  <si>
    <t>013311000050000</t>
  </si>
  <si>
    <t>泌尿系取石费</t>
  </si>
  <si>
    <t>通过手术从下尿路取出结石。</t>
  </si>
  <si>
    <t>所定价格涵盖手术计划、术区准备、消毒、取石、缝合、处理用物等步骤所需的人力资源和基本物质资源消耗。</t>
  </si>
  <si>
    <t>013311000050001</t>
  </si>
  <si>
    <r>
      <rPr>
        <sz val="12"/>
        <rFont val="宋体"/>
        <charset val="134"/>
      </rPr>
      <t>泌尿系取石费</t>
    </r>
    <r>
      <rPr>
        <sz val="12"/>
        <rFont val="Times New Roman"/>
        <charset val="0"/>
      </rPr>
      <t>-</t>
    </r>
    <r>
      <rPr>
        <sz val="12"/>
        <rFont val="宋体"/>
        <charset val="134"/>
      </rPr>
      <t>上尿路（加收）</t>
    </r>
  </si>
  <si>
    <t>013311000050011</t>
  </si>
  <si>
    <r>
      <rPr>
        <sz val="12"/>
        <rFont val="宋体"/>
        <charset val="134"/>
      </rPr>
      <t>泌尿系取石费</t>
    </r>
    <r>
      <rPr>
        <sz val="12"/>
        <rFont val="Times New Roman"/>
        <charset val="0"/>
      </rPr>
      <t>-</t>
    </r>
    <r>
      <rPr>
        <sz val="12"/>
        <rFont val="宋体"/>
        <charset val="134"/>
      </rPr>
      <t>儿童（加收）</t>
    </r>
  </si>
  <si>
    <t>013311000060000</t>
  </si>
  <si>
    <t>泌尿系造瘘费</t>
  </si>
  <si>
    <t>通过手术建立泌尿系与皮肤的瘘道。</t>
  </si>
  <si>
    <t>所定价格涵盖手术计划、术区准备、消毒、穿刺、建立瘘道、引流、缝合、处理用物等步骤所需的人力资源和基本物质资源消耗。</t>
  </si>
  <si>
    <t>013311000060001</t>
  </si>
  <si>
    <r>
      <rPr>
        <sz val="12"/>
        <rFont val="宋体"/>
        <charset val="134"/>
      </rPr>
      <t>泌尿系造瘘费</t>
    </r>
    <r>
      <rPr>
        <sz val="12"/>
        <rFont val="Times New Roman"/>
        <charset val="0"/>
      </rPr>
      <t>-</t>
    </r>
    <r>
      <rPr>
        <sz val="12"/>
        <rFont val="宋体"/>
        <charset val="134"/>
      </rPr>
      <t>上尿路（加收）</t>
    </r>
  </si>
  <si>
    <t>013311000060011</t>
  </si>
  <si>
    <r>
      <rPr>
        <sz val="12"/>
        <rFont val="宋体"/>
        <charset val="134"/>
      </rPr>
      <t>泌尿系造瘘费</t>
    </r>
    <r>
      <rPr>
        <sz val="12"/>
        <rFont val="Times New Roman"/>
        <charset val="0"/>
      </rPr>
      <t>-</t>
    </r>
    <r>
      <rPr>
        <sz val="12"/>
        <rFont val="宋体"/>
        <charset val="134"/>
      </rPr>
      <t>儿童（加收）</t>
    </r>
  </si>
  <si>
    <t>013311000070000</t>
  </si>
  <si>
    <t>泌尿道瘘修补费</t>
  </si>
  <si>
    <t>通过手术修补消化系统、生殖系统与泌尿系统之间的瘘道。</t>
  </si>
  <si>
    <t>所定价格涵盖手术计划、术区准备、消毒、切开、修补、重建、缝合、处理用物等步骤所需的人力资源和基本物质资源消耗。</t>
  </si>
  <si>
    <t>013311000070001</t>
  </si>
  <si>
    <r>
      <rPr>
        <sz val="12"/>
        <rFont val="宋体"/>
        <charset val="134"/>
      </rPr>
      <t>泌尿道瘘修补费</t>
    </r>
    <r>
      <rPr>
        <sz val="12"/>
        <rFont val="Times New Roman"/>
        <charset val="0"/>
      </rPr>
      <t>-</t>
    </r>
    <r>
      <rPr>
        <sz val="12"/>
        <rFont val="宋体"/>
        <charset val="134"/>
      </rPr>
      <t>儿童（加收）</t>
    </r>
  </si>
  <si>
    <t>013311000070100</t>
  </si>
  <si>
    <r>
      <rPr>
        <sz val="12"/>
        <rFont val="宋体"/>
        <charset val="134"/>
      </rPr>
      <t>泌尿道瘘修补费</t>
    </r>
    <r>
      <rPr>
        <sz val="12"/>
        <rFont val="Times New Roman"/>
        <charset val="0"/>
      </rPr>
      <t>-</t>
    </r>
    <r>
      <rPr>
        <sz val="12"/>
        <rFont val="宋体"/>
        <charset val="134"/>
      </rPr>
      <t>膀胱子宫瘘修补（扩展）</t>
    </r>
  </si>
  <si>
    <t>013311000071100</t>
  </si>
  <si>
    <r>
      <rPr>
        <sz val="12"/>
        <rFont val="宋体"/>
        <charset val="134"/>
      </rPr>
      <t>泌尿道瘘修补费</t>
    </r>
    <r>
      <rPr>
        <sz val="12"/>
        <rFont val="Times New Roman"/>
        <charset val="0"/>
      </rPr>
      <t>-</t>
    </r>
    <r>
      <rPr>
        <sz val="12"/>
        <rFont val="宋体"/>
        <charset val="134"/>
      </rPr>
      <t>膀胱阴道瘘修补（扩展）</t>
    </r>
  </si>
  <si>
    <t>013311000080000</t>
  </si>
  <si>
    <t>肾穿刺费</t>
  </si>
  <si>
    <t>通过手术穿刺肾脏进行治疗。</t>
  </si>
  <si>
    <t>所定价格涵盖手术计划、术区准备、消毒、穿刺、闭合通路、处理用物等步骤所需的人力资源和基本物质资源消耗。</t>
  </si>
  <si>
    <t>013311000080001</t>
  </si>
  <si>
    <r>
      <rPr>
        <sz val="12"/>
        <rFont val="宋体"/>
        <charset val="134"/>
      </rPr>
      <t>肾穿刺费</t>
    </r>
    <r>
      <rPr>
        <sz val="12"/>
        <rFont val="Times New Roman"/>
        <charset val="0"/>
      </rPr>
      <t>-</t>
    </r>
    <r>
      <rPr>
        <sz val="12"/>
        <rFont val="宋体"/>
        <charset val="134"/>
      </rPr>
      <t>肾周脓肿引流（加收）</t>
    </r>
  </si>
  <si>
    <t>013311000080011</t>
  </si>
  <si>
    <r>
      <rPr>
        <sz val="12"/>
        <rFont val="宋体"/>
        <charset val="134"/>
      </rPr>
      <t>肾穿刺费</t>
    </r>
    <r>
      <rPr>
        <sz val="12"/>
        <rFont val="Times New Roman"/>
        <charset val="0"/>
      </rPr>
      <t>-</t>
    </r>
    <r>
      <rPr>
        <sz val="12"/>
        <rFont val="宋体"/>
        <charset val="134"/>
      </rPr>
      <t>儿童（加收）</t>
    </r>
  </si>
  <si>
    <t>013311000080100</t>
  </si>
  <si>
    <r>
      <rPr>
        <sz val="12"/>
        <rFont val="宋体"/>
        <charset val="134"/>
      </rPr>
      <t>肾穿刺费</t>
    </r>
    <r>
      <rPr>
        <sz val="12"/>
        <rFont val="Times New Roman"/>
        <charset val="0"/>
      </rPr>
      <t>-</t>
    </r>
    <r>
      <rPr>
        <sz val="12"/>
        <rFont val="宋体"/>
        <charset val="134"/>
      </rPr>
      <t>肾封闭（扩展）</t>
    </r>
  </si>
  <si>
    <t>013311000090000</t>
  </si>
  <si>
    <t>肾周围淋巴管剥脱费</t>
  </si>
  <si>
    <t>通过手术结扎肾周围淋巴管。</t>
  </si>
  <si>
    <t>所定价格涵盖手术计划、术区准备、消毒、探查、淋巴管剥脱、创面检查、关闭、结扎、缝合、处理用物等步骤所需的人力资源和基本物质资源消耗。</t>
  </si>
  <si>
    <t>013311000090001</t>
  </si>
  <si>
    <r>
      <rPr>
        <sz val="12"/>
        <rFont val="宋体"/>
        <charset val="134"/>
      </rPr>
      <t>肾周围淋巴管剥脱费</t>
    </r>
    <r>
      <rPr>
        <sz val="12"/>
        <rFont val="Times New Roman"/>
        <charset val="0"/>
      </rPr>
      <t>-</t>
    </r>
    <r>
      <rPr>
        <sz val="12"/>
        <rFont val="宋体"/>
        <charset val="134"/>
      </rPr>
      <t>儿童（加收）</t>
    </r>
  </si>
  <si>
    <t>013311000100000</t>
  </si>
  <si>
    <t>肾包膜剥脱费</t>
  </si>
  <si>
    <t>通过手术剥脱肾包膜。</t>
  </si>
  <si>
    <t>所定价格涵盖手术计划、术区准备、切开、探查、剥除、检查、关闭、缝合、处理用物等步骤所需的人力资源和基本物质资源消耗。</t>
  </si>
  <si>
    <t>013311000100001</t>
  </si>
  <si>
    <r>
      <rPr>
        <sz val="12"/>
        <rFont val="宋体"/>
        <charset val="134"/>
      </rPr>
      <t>肾包膜剥脱费</t>
    </r>
    <r>
      <rPr>
        <sz val="12"/>
        <rFont val="Times New Roman"/>
        <charset val="0"/>
      </rPr>
      <t>-</t>
    </r>
    <r>
      <rPr>
        <sz val="12"/>
        <rFont val="宋体"/>
        <charset val="134"/>
      </rPr>
      <t>儿童（加收）</t>
    </r>
  </si>
  <si>
    <t>013311000110000</t>
  </si>
  <si>
    <t>融合肾分解费</t>
  </si>
  <si>
    <t>通过手术解除两肾粘连。</t>
  </si>
  <si>
    <t>所定价格涵盖手术计划、术区准备、切开、分离、检查和处理并发症、包扎、缝合、处理用物等步骤所需的人力资源和基本物质资源消耗。</t>
  </si>
  <si>
    <t>013311000110001</t>
  </si>
  <si>
    <r>
      <rPr>
        <sz val="12"/>
        <rFont val="宋体"/>
        <charset val="134"/>
      </rPr>
      <t>融合肾分解费</t>
    </r>
    <r>
      <rPr>
        <sz val="12"/>
        <rFont val="Times New Roman"/>
        <charset val="0"/>
      </rPr>
      <t>-</t>
    </r>
    <r>
      <rPr>
        <sz val="12"/>
        <rFont val="宋体"/>
        <charset val="134"/>
      </rPr>
      <t>儿童（加收）</t>
    </r>
  </si>
  <si>
    <t>013311000120000</t>
  </si>
  <si>
    <t>肾修补费</t>
  </si>
  <si>
    <t>通过手术将破裂肾脏止血、缝合。</t>
  </si>
  <si>
    <t>所定价格涵盖手术计划、术区准备、消毒、探查、血肿清除、止血、缝合及引流、处理用物等步骤所需的人力资源和基本物质资源消耗。</t>
  </si>
  <si>
    <t>013311000120001</t>
  </si>
  <si>
    <r>
      <rPr>
        <sz val="12"/>
        <rFont val="宋体"/>
        <charset val="134"/>
      </rPr>
      <t>肾修补费</t>
    </r>
    <r>
      <rPr>
        <sz val="12"/>
        <rFont val="Times New Roman"/>
        <charset val="0"/>
      </rPr>
      <t>-</t>
    </r>
    <r>
      <rPr>
        <sz val="12"/>
        <rFont val="宋体"/>
        <charset val="134"/>
      </rPr>
      <t>儿童（加收）</t>
    </r>
  </si>
  <si>
    <t>013311000130000</t>
  </si>
  <si>
    <t>肾囊肿去顶费</t>
  </si>
  <si>
    <t>通过手术去除囊肿顶部引流囊液、减轻压迫。</t>
  </si>
  <si>
    <t>所定价格涵盖手术计划、术区准备、切开、去顶、缝合、引流、处理用物等步骤所需的人力资源和基本物质资源消耗。</t>
  </si>
  <si>
    <t>013311000130001</t>
  </si>
  <si>
    <r>
      <rPr>
        <sz val="12"/>
        <rFont val="宋体"/>
        <charset val="134"/>
      </rPr>
      <t>肾囊肿去顶费</t>
    </r>
    <r>
      <rPr>
        <sz val="12"/>
        <rFont val="Times New Roman"/>
        <charset val="0"/>
      </rPr>
      <t>-</t>
    </r>
    <r>
      <rPr>
        <sz val="12"/>
        <rFont val="宋体"/>
        <charset val="134"/>
      </rPr>
      <t>儿童（加收）</t>
    </r>
  </si>
  <si>
    <t>013311000140000</t>
  </si>
  <si>
    <t>肾部分切除费</t>
  </si>
  <si>
    <t>通过手术切除肾实质病灶，保留同侧正常肾组织。</t>
  </si>
  <si>
    <t>所定价格涵盖手术计划、术区准备、切开、探查、止血、缝合、引流、处理用物等步骤所需的人力资源和基本物质资源消耗。</t>
  </si>
  <si>
    <r>
      <rPr>
        <sz val="12"/>
        <rFont val="宋体"/>
        <charset val="134"/>
      </rPr>
      <t>本项目中的</t>
    </r>
    <r>
      <rPr>
        <sz val="12"/>
        <rFont val="Times New Roman"/>
        <charset val="0"/>
      </rPr>
      <t>“</t>
    </r>
    <r>
      <rPr>
        <sz val="12"/>
        <rFont val="宋体"/>
        <charset val="134"/>
      </rPr>
      <t>巨大病灶</t>
    </r>
    <r>
      <rPr>
        <sz val="12"/>
        <rFont val="Times New Roman"/>
        <charset val="0"/>
      </rPr>
      <t>”</t>
    </r>
    <r>
      <rPr>
        <sz val="12"/>
        <rFont val="宋体"/>
        <charset val="134"/>
      </rPr>
      <t>指：病灶最大径</t>
    </r>
    <r>
      <rPr>
        <sz val="12"/>
        <rFont val="Times New Roman"/>
        <charset val="0"/>
      </rPr>
      <t>≥4cm</t>
    </r>
    <r>
      <rPr>
        <sz val="12"/>
        <rFont val="宋体"/>
        <charset val="134"/>
      </rPr>
      <t>。</t>
    </r>
  </si>
  <si>
    <t>013311000140001</t>
  </si>
  <si>
    <r>
      <rPr>
        <sz val="12"/>
        <rFont val="宋体"/>
        <charset val="134"/>
      </rPr>
      <t>肾部分切除费</t>
    </r>
    <r>
      <rPr>
        <sz val="12"/>
        <rFont val="Times New Roman"/>
        <charset val="0"/>
      </rPr>
      <t>-</t>
    </r>
    <r>
      <rPr>
        <sz val="12"/>
        <rFont val="宋体"/>
        <charset val="134"/>
      </rPr>
      <t>巨大病灶（加收）</t>
    </r>
  </si>
  <si>
    <t>013311000140011</t>
  </si>
  <si>
    <r>
      <rPr>
        <sz val="12"/>
        <rFont val="宋体"/>
        <charset val="134"/>
      </rPr>
      <t>肾部分切除费</t>
    </r>
    <r>
      <rPr>
        <sz val="12"/>
        <rFont val="Times New Roman"/>
        <charset val="0"/>
      </rPr>
      <t>-</t>
    </r>
    <r>
      <rPr>
        <sz val="12"/>
        <rFont val="宋体"/>
        <charset val="134"/>
      </rPr>
      <t>儿童（加收）</t>
    </r>
  </si>
  <si>
    <t>013311000150000</t>
  </si>
  <si>
    <t>肾全切费</t>
  </si>
  <si>
    <t>通过手术切除单侧全部肾脏组织。</t>
  </si>
  <si>
    <t>所定价格涵盖手术计划、术区准备、切开、探查、切除肾脏、检查、关闭、缝合、处理用物等步骤所需的人力资源和基本物质资源消耗。</t>
  </si>
  <si>
    <t>013311000150001</t>
  </si>
  <si>
    <r>
      <rPr>
        <sz val="12"/>
        <rFont val="宋体"/>
        <charset val="134"/>
      </rPr>
      <t>肾全切费</t>
    </r>
    <r>
      <rPr>
        <sz val="12"/>
        <rFont val="Times New Roman"/>
        <charset val="0"/>
      </rPr>
      <t>-</t>
    </r>
    <r>
      <rPr>
        <sz val="12"/>
        <rFont val="宋体"/>
        <charset val="134"/>
      </rPr>
      <t>儿童（加收）</t>
    </r>
  </si>
  <si>
    <t>013311000160000</t>
  </si>
  <si>
    <t>肾上腺部分切除费</t>
  </si>
  <si>
    <t>通过手术切除部分肾上腺。</t>
  </si>
  <si>
    <t>所定价格涵盖手术计划、术区准备、切开、探查、切除部分肾上腺、检查、关闭、缝合、处理用物等步骤所需的人力资源和基本物质资源消耗。</t>
  </si>
  <si>
    <t>013311000160001</t>
  </si>
  <si>
    <r>
      <rPr>
        <sz val="12"/>
        <rFont val="宋体"/>
        <charset val="134"/>
      </rPr>
      <t>肾上腺部分切除费</t>
    </r>
    <r>
      <rPr>
        <sz val="12"/>
        <rFont val="Times New Roman"/>
        <charset val="0"/>
      </rPr>
      <t>-</t>
    </r>
    <r>
      <rPr>
        <sz val="12"/>
        <rFont val="宋体"/>
        <charset val="134"/>
      </rPr>
      <t>肾上腺嗜铬细胞瘤切除（加收）</t>
    </r>
  </si>
  <si>
    <t>013311000160011</t>
  </si>
  <si>
    <r>
      <rPr>
        <sz val="12"/>
        <rFont val="宋体"/>
        <charset val="134"/>
      </rPr>
      <t>肾上腺部分切除费</t>
    </r>
    <r>
      <rPr>
        <sz val="12"/>
        <rFont val="Times New Roman"/>
        <charset val="0"/>
      </rPr>
      <t>-</t>
    </r>
    <r>
      <rPr>
        <sz val="12"/>
        <rFont val="宋体"/>
        <charset val="134"/>
      </rPr>
      <t>儿童（加收）</t>
    </r>
  </si>
  <si>
    <t>013311000170000</t>
  </si>
  <si>
    <t>肾上腺全切费</t>
  </si>
  <si>
    <t>通过手术切除单侧全部肾上腺。</t>
  </si>
  <si>
    <t>所定价格涵盖手术计划、术区准备、切开、探查、切除肾上腺、检查、关闭、缝合、处理用物等步骤所需的人力资源和基本物质资源消耗。</t>
  </si>
  <si>
    <t>013311000170001</t>
  </si>
  <si>
    <r>
      <rPr>
        <sz val="12"/>
        <rFont val="宋体"/>
        <charset val="134"/>
      </rPr>
      <t>肾上腺全切费</t>
    </r>
    <r>
      <rPr>
        <sz val="12"/>
        <rFont val="Times New Roman"/>
        <charset val="0"/>
      </rPr>
      <t>-</t>
    </r>
    <r>
      <rPr>
        <sz val="12"/>
        <rFont val="宋体"/>
        <charset val="134"/>
      </rPr>
      <t>上腺嗜铬细胞瘤切除（加收）</t>
    </r>
  </si>
  <si>
    <t>013311000170011</t>
  </si>
  <si>
    <r>
      <rPr>
        <sz val="12"/>
        <rFont val="宋体"/>
        <charset val="134"/>
      </rPr>
      <t>肾上腺全切费</t>
    </r>
    <r>
      <rPr>
        <sz val="12"/>
        <rFont val="Times New Roman"/>
        <charset val="0"/>
      </rPr>
      <t>-</t>
    </r>
    <r>
      <rPr>
        <sz val="12"/>
        <rFont val="宋体"/>
        <charset val="134"/>
      </rPr>
      <t>儿童（加收）</t>
    </r>
  </si>
  <si>
    <t>013311000180000</t>
  </si>
  <si>
    <t>肾上腺移植费</t>
  </si>
  <si>
    <t>通过手术实现患者原位肾上腺切除和供体肾上腺植入。</t>
  </si>
  <si>
    <t>所定价格涵盖手术计划、术区准备、切开、切除、整复、植入、吻合、关闭、缝合、处理用物等步骤所需的人力资源和基本物质资源消耗。</t>
  </si>
  <si>
    <t>013311000180001</t>
  </si>
  <si>
    <r>
      <rPr>
        <sz val="12"/>
        <rFont val="宋体"/>
        <charset val="134"/>
      </rPr>
      <t>肾上腺移植费</t>
    </r>
    <r>
      <rPr>
        <sz val="12"/>
        <rFont val="Times New Roman"/>
        <charset val="0"/>
      </rPr>
      <t>-</t>
    </r>
    <r>
      <rPr>
        <sz val="12"/>
        <rFont val="宋体"/>
        <charset val="134"/>
      </rPr>
      <t>儿童（加收）</t>
    </r>
  </si>
  <si>
    <t>013311000180100</t>
  </si>
  <si>
    <r>
      <rPr>
        <sz val="12"/>
        <rFont val="宋体"/>
        <charset val="134"/>
      </rPr>
      <t>肾上腺移植费</t>
    </r>
    <r>
      <rPr>
        <sz val="12"/>
        <rFont val="Times New Roman"/>
        <charset val="0"/>
      </rPr>
      <t>-</t>
    </r>
    <r>
      <rPr>
        <sz val="12"/>
        <rFont val="宋体"/>
        <charset val="134"/>
      </rPr>
      <t>异种器官（扩展）</t>
    </r>
  </si>
  <si>
    <t>013311000190000</t>
  </si>
  <si>
    <t>输尿管部分切除费</t>
  </si>
  <si>
    <t>通过手术切除输尿管部分组织。</t>
  </si>
  <si>
    <t>所定价格涵盖手术计划、术区准备、消毒、切开、切除、吻合、关闭、缝合、处理用物等步骤所需的人力资源和基本物质资源消耗。</t>
  </si>
  <si>
    <t>013311000190001</t>
  </si>
  <si>
    <r>
      <rPr>
        <sz val="12"/>
        <rFont val="宋体"/>
        <charset val="134"/>
      </rPr>
      <t>输尿管部分切除费</t>
    </r>
    <r>
      <rPr>
        <sz val="12"/>
        <rFont val="Times New Roman"/>
        <charset val="0"/>
      </rPr>
      <t>-</t>
    </r>
    <r>
      <rPr>
        <sz val="12"/>
        <rFont val="宋体"/>
        <charset val="134"/>
      </rPr>
      <t>儿童（加收）</t>
    </r>
  </si>
  <si>
    <t>013311000200000</t>
  </si>
  <si>
    <t>肾输尿管全长切除费</t>
  </si>
  <si>
    <t>通过手术切除肾输尿管全长。</t>
  </si>
  <si>
    <t>所定价格涵盖手术计划、术区准备、切开、探查、切除、检查、关闭、缝合、处理用物等步骤所需的人力资源和基本物质资源消耗。</t>
  </si>
  <si>
    <t>013311000200001</t>
  </si>
  <si>
    <r>
      <rPr>
        <sz val="12"/>
        <rFont val="宋体"/>
        <charset val="134"/>
      </rPr>
      <t>肾输尿管全长切除费</t>
    </r>
    <r>
      <rPr>
        <sz val="12"/>
        <rFont val="Times New Roman"/>
        <charset val="0"/>
      </rPr>
      <t>-</t>
    </r>
    <r>
      <rPr>
        <sz val="12"/>
        <rFont val="宋体"/>
        <charset val="134"/>
      </rPr>
      <t>儿童（加收）</t>
    </r>
  </si>
  <si>
    <t>013311000210000</t>
  </si>
  <si>
    <t>输尿管支架置入费</t>
  </si>
  <si>
    <t>通过手术置入输尿管支架。</t>
  </si>
  <si>
    <t>所定价格涵盖手术计划、术区准备、消毒、插管、置入支架、撤除、处理用物等步骤所需的人力资源和基本物质资源消耗。</t>
  </si>
  <si>
    <t>013311000210001</t>
  </si>
  <si>
    <r>
      <rPr>
        <sz val="12"/>
        <rFont val="宋体"/>
        <charset val="134"/>
      </rPr>
      <t>输尿管支架置入费</t>
    </r>
    <r>
      <rPr>
        <sz val="12"/>
        <rFont val="Times New Roman"/>
        <charset val="0"/>
      </rPr>
      <t>-</t>
    </r>
    <r>
      <rPr>
        <sz val="12"/>
        <rFont val="宋体"/>
        <charset val="134"/>
      </rPr>
      <t>儿童（加收）</t>
    </r>
  </si>
  <si>
    <t>013311000220000</t>
  </si>
  <si>
    <t>输尿管支架取出费</t>
  </si>
  <si>
    <t>通过手术取出输尿管支架。</t>
  </si>
  <si>
    <t>所定价格涵盖手术计划、术区准备、消毒、取出、处理用物等步骤所需的人力资源和基本物质资源消耗。</t>
  </si>
  <si>
    <t>013311000220001</t>
  </si>
  <si>
    <r>
      <rPr>
        <sz val="12"/>
        <rFont val="宋体"/>
        <charset val="134"/>
      </rPr>
      <t>输尿管支架取出费</t>
    </r>
    <r>
      <rPr>
        <sz val="12"/>
        <rFont val="Times New Roman"/>
        <charset val="0"/>
      </rPr>
      <t>-</t>
    </r>
    <r>
      <rPr>
        <sz val="12"/>
        <rFont val="宋体"/>
        <charset val="134"/>
      </rPr>
      <t>儿童（加收）</t>
    </r>
  </si>
  <si>
    <t>013311000230000</t>
  </si>
  <si>
    <r>
      <rPr>
        <sz val="12"/>
        <rFont val="宋体"/>
        <charset val="134"/>
      </rPr>
      <t>膀胱颈</t>
    </r>
    <r>
      <rPr>
        <sz val="12"/>
        <rFont val="Times New Roman"/>
        <charset val="0"/>
      </rPr>
      <t>/</t>
    </r>
    <r>
      <rPr>
        <sz val="12"/>
        <rFont val="宋体"/>
        <charset val="134"/>
      </rPr>
      <t>尿道悬吊费</t>
    </r>
  </si>
  <si>
    <t>通过手术固定脱垂脏器，改善生理功能。</t>
  </si>
  <si>
    <t>所定价格涵盖手术计划、术区准备、消毒、切开、脏器悬吊、调整确认、包扎、缝合、处理用物等步骤所需的人力资源和基本物质资源消耗。</t>
  </si>
  <si>
    <t>013311000230001</t>
  </si>
  <si>
    <r>
      <rPr>
        <sz val="12"/>
        <rFont val="宋体"/>
        <charset val="134"/>
      </rPr>
      <t>膀胱颈</t>
    </r>
    <r>
      <rPr>
        <sz val="12"/>
        <rFont val="Times New Roman"/>
        <charset val="0"/>
      </rPr>
      <t>/</t>
    </r>
    <r>
      <rPr>
        <sz val="12"/>
        <rFont val="宋体"/>
        <charset val="134"/>
      </rPr>
      <t>尿道悬吊费</t>
    </r>
    <r>
      <rPr>
        <sz val="12"/>
        <rFont val="Times New Roman"/>
        <charset val="0"/>
      </rPr>
      <t>-</t>
    </r>
    <r>
      <rPr>
        <sz val="12"/>
        <rFont val="宋体"/>
        <charset val="134"/>
      </rPr>
      <t>儿童（加收）</t>
    </r>
  </si>
  <si>
    <t>013311000240000</t>
  </si>
  <si>
    <t>膀胱灌注费</t>
  </si>
  <si>
    <t>通过向膀胱灌注药物或其他液体进行治疗。</t>
  </si>
  <si>
    <t>所定价格涵盖消毒、润滑尿道、插管、灌注、撤管、处理用物等步骤所需的人力资源和基本物质资源消耗。</t>
  </si>
  <si>
    <t>013311000240001</t>
  </si>
  <si>
    <r>
      <rPr>
        <sz val="12"/>
        <rFont val="宋体"/>
        <charset val="134"/>
      </rPr>
      <t>膀胱灌注费</t>
    </r>
    <r>
      <rPr>
        <sz val="12"/>
        <rFont val="Times New Roman"/>
        <charset val="0"/>
      </rPr>
      <t>-</t>
    </r>
    <r>
      <rPr>
        <sz val="12"/>
        <rFont val="宋体"/>
        <charset val="134"/>
      </rPr>
      <t>儿童（加收）</t>
    </r>
  </si>
  <si>
    <t>013311000250000</t>
  </si>
  <si>
    <t>膀胱修补费</t>
  </si>
  <si>
    <t>通过手术修补膀胱。</t>
  </si>
  <si>
    <t>013311000250001</t>
  </si>
  <si>
    <r>
      <rPr>
        <sz val="12"/>
        <rFont val="宋体"/>
        <charset val="134"/>
      </rPr>
      <t>膀胱修补费</t>
    </r>
    <r>
      <rPr>
        <sz val="12"/>
        <rFont val="Times New Roman"/>
        <charset val="0"/>
      </rPr>
      <t>-</t>
    </r>
    <r>
      <rPr>
        <sz val="12"/>
        <rFont val="宋体"/>
        <charset val="134"/>
      </rPr>
      <t>儿童（加收）</t>
    </r>
  </si>
  <si>
    <t>013311000260000</t>
  </si>
  <si>
    <t>膀胱颈重建费</t>
  </si>
  <si>
    <t>通过手术重建膀胱颈。</t>
  </si>
  <si>
    <t>所定价格涵盖手术计划、术区准备、消毒、切开、分离、重建、缝合、处理用物等步骤所需的人力资源和基本物质资源消耗。</t>
  </si>
  <si>
    <t>013311000260001</t>
  </si>
  <si>
    <r>
      <rPr>
        <sz val="12"/>
        <rFont val="宋体"/>
        <charset val="134"/>
      </rPr>
      <t>膀胱颈重建费</t>
    </r>
    <r>
      <rPr>
        <sz val="12"/>
        <rFont val="Times New Roman"/>
        <charset val="0"/>
      </rPr>
      <t>-</t>
    </r>
    <r>
      <rPr>
        <sz val="12"/>
        <rFont val="宋体"/>
        <charset val="134"/>
      </rPr>
      <t>儿童（加收）</t>
    </r>
  </si>
  <si>
    <t>013311000270000</t>
  </si>
  <si>
    <t>膀胱部分切除费</t>
  </si>
  <si>
    <t>通过手术切除病变部分膀胱。</t>
  </si>
  <si>
    <t>所定价格涵盖手术计划、术区准备、消毒、切开、切除、缝合、处理用物等步骤所需的人力资源和基本物质资源消耗。</t>
  </si>
  <si>
    <t>013311000270001</t>
  </si>
  <si>
    <r>
      <rPr>
        <sz val="12"/>
        <rFont val="宋体"/>
        <charset val="134"/>
      </rPr>
      <t>膀胱部分切除费</t>
    </r>
    <r>
      <rPr>
        <sz val="12"/>
        <rFont val="Times New Roman"/>
        <charset val="0"/>
      </rPr>
      <t>-</t>
    </r>
    <r>
      <rPr>
        <sz val="12"/>
        <rFont val="宋体"/>
        <charset val="134"/>
      </rPr>
      <t>儿童（加收）</t>
    </r>
  </si>
  <si>
    <t>013311000270011</t>
  </si>
  <si>
    <r>
      <rPr>
        <sz val="12"/>
        <rFont val="宋体"/>
        <charset val="134"/>
      </rPr>
      <t>膀胱部分切除费</t>
    </r>
    <r>
      <rPr>
        <sz val="12"/>
        <rFont val="Times New Roman"/>
        <charset val="0"/>
      </rPr>
      <t>-</t>
    </r>
    <r>
      <rPr>
        <sz val="12"/>
        <rFont val="宋体"/>
        <charset val="134"/>
      </rPr>
      <t>脐尿管肿瘤切除（加收）</t>
    </r>
  </si>
  <si>
    <t>013311000280000</t>
  </si>
  <si>
    <t>膀胱全切除费</t>
  </si>
  <si>
    <t>通过手术切除全部膀胱。</t>
  </si>
  <si>
    <t>013311000280100</t>
  </si>
  <si>
    <r>
      <rPr>
        <sz val="12"/>
        <rFont val="宋体"/>
        <charset val="134"/>
      </rPr>
      <t>膀胱全切除费</t>
    </r>
    <r>
      <rPr>
        <sz val="12"/>
        <rFont val="Times New Roman"/>
        <charset val="0"/>
      </rPr>
      <t>-</t>
    </r>
    <r>
      <rPr>
        <sz val="12"/>
        <rFont val="宋体"/>
        <charset val="134"/>
      </rPr>
      <t>儿童（加收）</t>
    </r>
  </si>
  <si>
    <t>013311000290000</t>
  </si>
  <si>
    <t>根治性膀胱全切除费</t>
  </si>
  <si>
    <t>通过手术根治性完整切除膀胱及周围生殖系统。</t>
  </si>
  <si>
    <t>所定价格涵盖手术计划、术区准备、消毒、切开、切除、关闭、缝合、必要时行盆腔淋巴结清扫、处理用物等步骤所需的人力资源和基本物质资源消耗。</t>
  </si>
  <si>
    <t>男性需切除膀胱、前列腺、精囊腺；女性需切除膀胱、子宫、卵巢、阴道。</t>
  </si>
  <si>
    <t>013311000290001</t>
  </si>
  <si>
    <r>
      <rPr>
        <sz val="12"/>
        <rFont val="宋体"/>
        <charset val="134"/>
      </rPr>
      <t>根治性膀胱全切除费</t>
    </r>
    <r>
      <rPr>
        <sz val="12"/>
        <rFont val="Times New Roman"/>
        <charset val="0"/>
      </rPr>
      <t>-</t>
    </r>
    <r>
      <rPr>
        <sz val="12"/>
        <rFont val="宋体"/>
        <charset val="134"/>
      </rPr>
      <t>保留性神经（加收）</t>
    </r>
  </si>
  <si>
    <t>013311000290011</t>
  </si>
  <si>
    <r>
      <rPr>
        <sz val="12"/>
        <rFont val="宋体"/>
        <charset val="134"/>
      </rPr>
      <t>根治性膀胱全切除费</t>
    </r>
    <r>
      <rPr>
        <sz val="12"/>
        <rFont val="Times New Roman"/>
        <charset val="0"/>
      </rPr>
      <t>-</t>
    </r>
    <r>
      <rPr>
        <sz val="12"/>
        <rFont val="宋体"/>
        <charset val="134"/>
      </rPr>
      <t>儿童（加收）</t>
    </r>
  </si>
  <si>
    <t>013311000300000</t>
  </si>
  <si>
    <t>尿道支架置入费</t>
  </si>
  <si>
    <t>通过手术置入尿道支架。</t>
  </si>
  <si>
    <t>所定价格涵盖手术计划、术区准备、消毒、置入、调位、撤除导管及必要时球囊扩张、处理用物等步骤所需的人力资源和基本物质资源消耗。</t>
  </si>
  <si>
    <t>013311000300001</t>
  </si>
  <si>
    <r>
      <rPr>
        <sz val="12"/>
        <rFont val="宋体"/>
        <charset val="134"/>
      </rPr>
      <t>尿道支架置入费</t>
    </r>
    <r>
      <rPr>
        <sz val="12"/>
        <rFont val="Times New Roman"/>
        <charset val="0"/>
      </rPr>
      <t>-</t>
    </r>
    <r>
      <rPr>
        <sz val="12"/>
        <rFont val="宋体"/>
        <charset val="134"/>
      </rPr>
      <t>儿童（加收）</t>
    </r>
  </si>
  <si>
    <t>013311000310000</t>
  </si>
  <si>
    <t>尿道支架取出费</t>
  </si>
  <si>
    <t>通过手术取出尿道支架。</t>
  </si>
  <si>
    <t>013311000310001</t>
  </si>
  <si>
    <r>
      <rPr>
        <sz val="12"/>
        <rFont val="宋体"/>
        <charset val="134"/>
      </rPr>
      <t>尿道支架取出费</t>
    </r>
    <r>
      <rPr>
        <sz val="12"/>
        <rFont val="Times New Roman"/>
        <charset val="0"/>
      </rPr>
      <t>-</t>
    </r>
    <r>
      <rPr>
        <sz val="12"/>
        <rFont val="宋体"/>
        <charset val="134"/>
      </rPr>
      <t>儿童（加收）</t>
    </r>
  </si>
  <si>
    <t>013311000320000</t>
  </si>
  <si>
    <t>尿道部分切除费</t>
  </si>
  <si>
    <t>通过手术切除尿道内病变。</t>
  </si>
  <si>
    <t>所定价格涵盖手术计划、术区准备、消毒、切开、分离、病变切除、尿道成形、缝合、处理用物等步骤所需的人力资源和基本物质资源消耗。</t>
  </si>
  <si>
    <t>013311000320001</t>
  </si>
  <si>
    <r>
      <rPr>
        <sz val="12"/>
        <rFont val="宋体"/>
        <charset val="134"/>
      </rPr>
      <t>尿道部分切除费</t>
    </r>
    <r>
      <rPr>
        <sz val="12"/>
        <rFont val="Times New Roman"/>
        <charset val="0"/>
      </rPr>
      <t>-</t>
    </r>
    <r>
      <rPr>
        <sz val="12"/>
        <rFont val="宋体"/>
        <charset val="134"/>
      </rPr>
      <t>儿童（加收）</t>
    </r>
  </si>
  <si>
    <t>013311000330000</t>
  </si>
  <si>
    <t>尿道全切除费</t>
  </si>
  <si>
    <t>通过手术切除完整尿道。</t>
  </si>
  <si>
    <t>所定价格涵盖手术计划、术区准备、消毒、切开、分离、切除、尿道成形、缝合、处理用物等步骤所需的人力资源和基本物质资源消耗。</t>
  </si>
  <si>
    <t>013311000330001</t>
  </si>
  <si>
    <r>
      <rPr>
        <sz val="12"/>
        <rFont val="宋体"/>
        <charset val="134"/>
      </rPr>
      <t>尿道全切除费</t>
    </r>
    <r>
      <rPr>
        <sz val="12"/>
        <rFont val="Times New Roman"/>
        <charset val="0"/>
      </rPr>
      <t>-</t>
    </r>
    <r>
      <rPr>
        <sz val="12"/>
        <rFont val="宋体"/>
        <charset val="134"/>
      </rPr>
      <t>儿童（加收）</t>
    </r>
  </si>
  <si>
    <t>013311000340000</t>
  </si>
  <si>
    <t>尿道扩张费</t>
  </si>
  <si>
    <t>通过手术扩张狭窄尿道。</t>
  </si>
  <si>
    <t>所定价格涵盖手术计划、术区准备、消毒、插管、导入球囊、充气扩张、观察调整、撤除、处理用物等步骤所需的人力资源和基本物质资源消耗。</t>
  </si>
  <si>
    <t>013311000340001</t>
  </si>
  <si>
    <r>
      <rPr>
        <sz val="12"/>
        <rFont val="宋体"/>
        <charset val="134"/>
      </rPr>
      <t>尿道扩张费</t>
    </r>
    <r>
      <rPr>
        <sz val="12"/>
        <rFont val="Times New Roman"/>
        <charset val="0"/>
      </rPr>
      <t>-</t>
    </r>
    <r>
      <rPr>
        <sz val="12"/>
        <rFont val="宋体"/>
        <charset val="134"/>
      </rPr>
      <t>儿童（加收）</t>
    </r>
  </si>
  <si>
    <t>013311000350000</t>
  </si>
  <si>
    <t>尿道裂成形费（常规）</t>
  </si>
  <si>
    <t>通过手术恢复尿道口正常位置。</t>
  </si>
  <si>
    <t>所定价格涵盖手术计划、术区准备、消毒、尿道裂处理、缺损修复、包皮成型、处理用物等步骤所需的人力资源和基本物质资源消耗。</t>
  </si>
  <si>
    <t>013311000350001</t>
  </si>
  <si>
    <r>
      <rPr>
        <sz val="12"/>
        <rFont val="宋体"/>
        <charset val="134"/>
      </rPr>
      <t>尿道裂成形费（常规）</t>
    </r>
    <r>
      <rPr>
        <sz val="12"/>
        <rFont val="Times New Roman"/>
        <charset val="0"/>
      </rPr>
      <t>-</t>
    </r>
    <r>
      <rPr>
        <sz val="12"/>
        <rFont val="宋体"/>
        <charset val="134"/>
      </rPr>
      <t>儿童（加收）</t>
    </r>
  </si>
  <si>
    <t>013311000360000</t>
  </si>
  <si>
    <t>尿道裂成形费（复杂）</t>
  </si>
  <si>
    <t>通过手术使复杂尿道裂恢复正常位置。</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</si>
  <si>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指：需横断尿板、重建尿道、增加防水层的情况。</t>
    </r>
  </si>
  <si>
    <t>013311000360001</t>
  </si>
  <si>
    <r>
      <rPr>
        <sz val="12"/>
        <rFont val="宋体"/>
        <charset val="134"/>
      </rPr>
      <t>尿道裂成形费（复杂）</t>
    </r>
    <r>
      <rPr>
        <sz val="12"/>
        <rFont val="Times New Roman"/>
        <charset val="0"/>
      </rPr>
      <t>-</t>
    </r>
    <r>
      <rPr>
        <sz val="12"/>
        <rFont val="宋体"/>
        <charset val="134"/>
      </rPr>
      <t>儿童（加收）</t>
    </r>
  </si>
  <si>
    <t>013311000370000</t>
  </si>
  <si>
    <t>尿流改道费</t>
  </si>
  <si>
    <t>通过手术实现尿道改道。</t>
  </si>
  <si>
    <t>所定价格涵盖手术计划、术区准备、消毒、切开、端端吻合、缝合、处理用物等步骤所需的人力资源和基本物质资源消耗。</t>
  </si>
  <si>
    <t>013311000370001</t>
  </si>
  <si>
    <r>
      <rPr>
        <sz val="12"/>
        <rFont val="宋体"/>
        <charset val="134"/>
      </rPr>
      <t>尿流改道费</t>
    </r>
    <r>
      <rPr>
        <sz val="12"/>
        <rFont val="Times New Roman"/>
        <charset val="0"/>
      </rPr>
      <t>-</t>
    </r>
    <r>
      <rPr>
        <sz val="12"/>
        <rFont val="宋体"/>
        <charset val="134"/>
      </rPr>
      <t>原位或可控性储尿囊（加收）</t>
    </r>
  </si>
  <si>
    <t>013311000370011</t>
  </si>
  <si>
    <r>
      <rPr>
        <sz val="12"/>
        <rFont val="宋体"/>
        <charset val="134"/>
      </rPr>
      <t>尿流改道费</t>
    </r>
    <r>
      <rPr>
        <sz val="12"/>
        <rFont val="Times New Roman"/>
        <charset val="0"/>
      </rPr>
      <t>-</t>
    </r>
    <r>
      <rPr>
        <sz val="12"/>
        <rFont val="宋体"/>
        <charset val="134"/>
      </rPr>
      <t>输尿管造口（减收）</t>
    </r>
  </si>
  <si>
    <t>013311000370021</t>
  </si>
  <si>
    <r>
      <rPr>
        <sz val="12"/>
        <rFont val="宋体"/>
        <charset val="134"/>
      </rPr>
      <t>尿流改道费</t>
    </r>
    <r>
      <rPr>
        <sz val="12"/>
        <rFont val="Times New Roman"/>
        <charset val="0"/>
      </rPr>
      <t>-</t>
    </r>
    <r>
      <rPr>
        <sz val="12"/>
        <rFont val="宋体"/>
        <charset val="134"/>
      </rPr>
      <t>儿童（加收）</t>
    </r>
  </si>
  <si>
    <t>013311000380000</t>
  </si>
  <si>
    <t>尿路成形费（常规）</t>
  </si>
  <si>
    <t>通过手术解除肾盂输尿管连接部、输尿管、尿道处的梗阻，重建尿路。</t>
  </si>
  <si>
    <t>所定价格涵盖手术计划、术区准备、消毒、切开、解除连接部梗阻、裁剪尿路、重建、缝合、处理用物等步骤所需的人力资源和基本物质资源消耗。</t>
  </si>
  <si>
    <t>013311000380001</t>
  </si>
  <si>
    <r>
      <rPr>
        <sz val="12"/>
        <rFont val="宋体"/>
        <charset val="134"/>
      </rPr>
      <t>尿路成形费（常规）</t>
    </r>
    <r>
      <rPr>
        <sz val="12"/>
        <rFont val="Times New Roman"/>
        <charset val="0"/>
      </rPr>
      <t>-</t>
    </r>
    <r>
      <rPr>
        <sz val="12"/>
        <rFont val="宋体"/>
        <charset val="134"/>
      </rPr>
      <t>儿童（加收）</t>
    </r>
  </si>
  <si>
    <t>013311000390000</t>
  </si>
  <si>
    <t>尿路成形费（复杂）</t>
  </si>
  <si>
    <t>通过手术解除复杂情况下的肾盂输尿管连接部、输尿管、尿道处的梗阻，重建尿路。</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</si>
  <si>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指：双侧同时手术、肠管代输尿管、膀胱瓣代输尿管、口腔黏膜代输尿管、阑尾代输尿管、肾盂瓣成形的方式。</t>
    </r>
  </si>
  <si>
    <t>013311000390001</t>
  </si>
  <si>
    <r>
      <rPr>
        <sz val="12"/>
        <rFont val="宋体"/>
        <charset val="134"/>
      </rPr>
      <t>尿路成形费（复杂）</t>
    </r>
    <r>
      <rPr>
        <sz val="12"/>
        <rFont val="Times New Roman"/>
        <charset val="0"/>
      </rPr>
      <t>-</t>
    </r>
    <r>
      <rPr>
        <sz val="12"/>
        <rFont val="宋体"/>
        <charset val="134"/>
      </rPr>
      <t>儿童（加收）</t>
    </r>
  </si>
  <si>
    <t>013311000400000</t>
  </si>
  <si>
    <t>人工尿道括约肌装置置入费</t>
  </si>
  <si>
    <t>通过手术置入人工尿道括约肌装置。</t>
  </si>
  <si>
    <t>所定价格涵盖手术计划、术区准备、切开、安装、调试、缝合、处理用物等步骤所需的人力资源和基本物质资源消耗。</t>
  </si>
  <si>
    <r>
      <rPr>
        <sz val="12"/>
        <rFont val="宋体"/>
        <charset val="134"/>
      </rPr>
      <t>不与</t>
    </r>
    <r>
      <rPr>
        <sz val="12"/>
        <rFont val="Times New Roman"/>
        <charset val="0"/>
      </rPr>
      <t>“</t>
    </r>
    <r>
      <rPr>
        <sz val="12"/>
        <rFont val="宋体"/>
        <charset val="134"/>
      </rPr>
      <t>人工尿道括约肌装置更换费</t>
    </r>
    <r>
      <rPr>
        <sz val="12"/>
        <rFont val="Times New Roman"/>
        <charset val="0"/>
      </rPr>
      <t>”</t>
    </r>
    <r>
      <rPr>
        <sz val="12"/>
        <rFont val="宋体"/>
        <charset val="134"/>
      </rPr>
      <t>同时收取。</t>
    </r>
  </si>
  <si>
    <t>013311000400001</t>
  </si>
  <si>
    <r>
      <rPr>
        <sz val="12"/>
        <rFont val="宋体"/>
        <charset val="134"/>
      </rPr>
      <t>人工尿道括约肌装置置入费</t>
    </r>
    <r>
      <rPr>
        <sz val="12"/>
        <rFont val="Times New Roman"/>
        <charset val="0"/>
      </rPr>
      <t>-</t>
    </r>
    <r>
      <rPr>
        <sz val="12"/>
        <rFont val="宋体"/>
        <charset val="134"/>
      </rPr>
      <t>儿童（加收）</t>
    </r>
  </si>
  <si>
    <t>013311000410000</t>
  </si>
  <si>
    <t>人工尿道括约肌装置取出费</t>
  </si>
  <si>
    <t>通过手术取出人工尿道括约肌装置。</t>
  </si>
  <si>
    <t>所定价格涵盖手术计划、术区准备、切开、取出、缝合、处理用物等步骤所需的人力资源和基本物质资源消耗。</t>
  </si>
  <si>
    <t>013311000410001</t>
  </si>
  <si>
    <r>
      <rPr>
        <sz val="12"/>
        <rFont val="宋体"/>
        <charset val="134"/>
      </rPr>
      <t>人工尿道括约肌装置取出费</t>
    </r>
    <r>
      <rPr>
        <sz val="12"/>
        <rFont val="Times New Roman"/>
        <charset val="0"/>
      </rPr>
      <t>-</t>
    </r>
    <r>
      <rPr>
        <sz val="12"/>
        <rFont val="宋体"/>
        <charset val="134"/>
      </rPr>
      <t>儿童（加收）</t>
    </r>
  </si>
  <si>
    <t>013311000420000</t>
  </si>
  <si>
    <t>人工尿道括约肌装置更换费</t>
  </si>
  <si>
    <t>通过手术更换人工尿道括约肌装置。</t>
  </si>
  <si>
    <r>
      <rPr>
        <sz val="12"/>
        <rFont val="宋体"/>
        <charset val="134"/>
      </rPr>
      <t>不与</t>
    </r>
    <r>
      <rPr>
        <sz val="12"/>
        <rFont val="Times New Roman"/>
        <charset val="0"/>
      </rPr>
      <t>“</t>
    </r>
    <r>
      <rPr>
        <sz val="12"/>
        <rFont val="宋体"/>
        <charset val="134"/>
      </rPr>
      <t>人工尿道括约肌装置置入费</t>
    </r>
    <r>
      <rPr>
        <sz val="12"/>
        <rFont val="Times New Roman"/>
        <charset val="0"/>
      </rPr>
      <t>”“</t>
    </r>
    <r>
      <rPr>
        <sz val="12"/>
        <rFont val="宋体"/>
        <charset val="134"/>
      </rPr>
      <t>人工尿道括约肌装置取出费</t>
    </r>
    <r>
      <rPr>
        <sz val="12"/>
        <rFont val="Times New Roman"/>
        <charset val="0"/>
      </rPr>
      <t>”</t>
    </r>
    <r>
      <rPr>
        <sz val="12"/>
        <rFont val="宋体"/>
        <charset val="134"/>
      </rPr>
      <t>同时收取。</t>
    </r>
  </si>
  <si>
    <t>013311000420001</t>
  </si>
  <si>
    <r>
      <rPr>
        <sz val="12"/>
        <rFont val="宋体"/>
        <charset val="134"/>
      </rPr>
      <t>人工尿道括约肌装置更换费</t>
    </r>
    <r>
      <rPr>
        <sz val="12"/>
        <rFont val="Times New Roman"/>
        <charset val="0"/>
      </rPr>
      <t>-</t>
    </r>
    <r>
      <rPr>
        <sz val="12"/>
        <rFont val="宋体"/>
        <charset val="134"/>
      </rPr>
      <t>儿童（加收）</t>
    </r>
  </si>
  <si>
    <t>013312000010000</t>
  </si>
  <si>
    <t>睾丸移植费</t>
  </si>
  <si>
    <t>通过手术移植固定睾丸。</t>
  </si>
  <si>
    <t>所定价格涵盖手术计划、术区准备、消毒、切开、游离、血管吻合、固定、关闭、缝合、处理用物等步骤所需的人力资源和基本物质资源消耗。</t>
  </si>
  <si>
    <t>013312000010001</t>
  </si>
  <si>
    <r>
      <rPr>
        <sz val="12"/>
        <rFont val="宋体"/>
        <charset val="134"/>
      </rPr>
      <t>睾丸移植费</t>
    </r>
    <r>
      <rPr>
        <sz val="12"/>
        <rFont val="Times New Roman"/>
        <charset val="0"/>
      </rPr>
      <t>-</t>
    </r>
    <r>
      <rPr>
        <sz val="12"/>
        <rFont val="宋体"/>
        <charset val="134"/>
      </rPr>
      <t>儿童（加收）</t>
    </r>
  </si>
  <si>
    <t>013312000010100</t>
  </si>
  <si>
    <r>
      <rPr>
        <sz val="12"/>
        <rFont val="宋体"/>
        <charset val="134"/>
      </rPr>
      <t>睾丸移植费</t>
    </r>
    <r>
      <rPr>
        <sz val="12"/>
        <rFont val="Times New Roman"/>
        <charset val="0"/>
      </rPr>
      <t>-</t>
    </r>
    <r>
      <rPr>
        <sz val="12"/>
        <rFont val="宋体"/>
        <charset val="134"/>
      </rPr>
      <t>异种睾丸（扩展）</t>
    </r>
  </si>
  <si>
    <t>013312000020000</t>
  </si>
  <si>
    <t>隐睾复位费</t>
  </si>
  <si>
    <t>通过手术将隐睾复位至阴囊内。</t>
  </si>
  <si>
    <t>所定价格涵盖手术计划、术区准备、消毒、切开、游离、下降睾丸、固定、关闭、缝合、处理用物等步骤所需的人力资源和基本物质资源消耗。</t>
  </si>
  <si>
    <r>
      <rPr>
        <sz val="12"/>
        <rFont val="宋体"/>
        <charset val="134"/>
      </rPr>
      <t>本项目中的</t>
    </r>
    <r>
      <rPr>
        <sz val="12"/>
        <rFont val="Times New Roman"/>
        <charset val="0"/>
      </rPr>
      <t>“</t>
    </r>
    <r>
      <rPr>
        <sz val="12"/>
        <rFont val="宋体"/>
        <charset val="134"/>
      </rPr>
      <t>高位</t>
    </r>
    <r>
      <rPr>
        <sz val="12"/>
        <rFont val="Times New Roman"/>
        <charset val="0"/>
      </rPr>
      <t>”</t>
    </r>
    <r>
      <rPr>
        <sz val="12"/>
        <rFont val="宋体"/>
        <charset val="134"/>
      </rPr>
      <t>指：腹股沟以上部位，不含腹股沟。</t>
    </r>
  </si>
  <si>
    <t>013312000020001</t>
  </si>
  <si>
    <r>
      <rPr>
        <sz val="12"/>
        <rFont val="宋体"/>
        <charset val="134"/>
      </rPr>
      <t>隐睾复位费</t>
    </r>
    <r>
      <rPr>
        <sz val="12"/>
        <rFont val="Times New Roman"/>
        <charset val="0"/>
      </rPr>
      <t>-</t>
    </r>
    <r>
      <rPr>
        <sz val="12"/>
        <rFont val="宋体"/>
        <charset val="134"/>
      </rPr>
      <t>高位复位（加收）</t>
    </r>
  </si>
  <si>
    <t>013312000020011</t>
  </si>
  <si>
    <r>
      <rPr>
        <sz val="12"/>
        <rFont val="宋体"/>
        <charset val="134"/>
      </rPr>
      <t>隐睾复位费</t>
    </r>
    <r>
      <rPr>
        <sz val="12"/>
        <rFont val="Times New Roman"/>
        <charset val="0"/>
      </rPr>
      <t>-</t>
    </r>
    <r>
      <rPr>
        <sz val="12"/>
        <rFont val="宋体"/>
        <charset val="134"/>
      </rPr>
      <t>儿童（加收）</t>
    </r>
  </si>
  <si>
    <t>013312000030000</t>
  </si>
  <si>
    <t>睾丸切除费</t>
  </si>
  <si>
    <t>通过手术切除睾丸。</t>
  </si>
  <si>
    <t>所定价格涵盖手术计划、术区准备、消毒、切开、游离、切除、关闭、缝合、处理用物等步骤所需的人力资源和基本物质资源消耗。</t>
  </si>
  <si>
    <t>013312000030001</t>
  </si>
  <si>
    <r>
      <rPr>
        <sz val="12"/>
        <rFont val="宋体"/>
        <charset val="134"/>
      </rPr>
      <t>睾丸切除费</t>
    </r>
    <r>
      <rPr>
        <sz val="12"/>
        <rFont val="Times New Roman"/>
        <charset val="0"/>
      </rPr>
      <t>-</t>
    </r>
    <r>
      <rPr>
        <sz val="12"/>
        <rFont val="宋体"/>
        <charset val="134"/>
      </rPr>
      <t>恶性肿瘤切除（加收）</t>
    </r>
  </si>
  <si>
    <t>013312000030011</t>
  </si>
  <si>
    <r>
      <rPr>
        <sz val="12"/>
        <rFont val="宋体"/>
        <charset val="134"/>
      </rPr>
      <t>睾丸切除费</t>
    </r>
    <r>
      <rPr>
        <sz val="12"/>
        <rFont val="Times New Roman"/>
        <charset val="0"/>
      </rPr>
      <t>-</t>
    </r>
    <r>
      <rPr>
        <sz val="12"/>
        <rFont val="宋体"/>
        <charset val="134"/>
      </rPr>
      <t>儿童（加收）</t>
    </r>
  </si>
  <si>
    <t>013312000030100</t>
  </si>
  <si>
    <r>
      <rPr>
        <sz val="12"/>
        <rFont val="宋体"/>
        <charset val="134"/>
      </rPr>
      <t>睾丸切除费</t>
    </r>
    <r>
      <rPr>
        <sz val="12"/>
        <rFont val="Times New Roman"/>
        <charset val="0"/>
      </rPr>
      <t>-</t>
    </r>
    <r>
      <rPr>
        <sz val="12"/>
        <rFont val="宋体"/>
        <charset val="134"/>
      </rPr>
      <t>附睾切除（扩展）</t>
    </r>
  </si>
  <si>
    <t>013312000040000</t>
  </si>
  <si>
    <t>睾丸鞘膜翻转费</t>
  </si>
  <si>
    <t>通过手术去除鞘膜积液并翻转鞘膜。</t>
  </si>
  <si>
    <t>所定价格涵盖手术计划、术区准备、消毒、切开、游离、切除、翻转固定、关闭、缝合、处理用物等步骤所需的人力资源和基本物质资源消耗。</t>
  </si>
  <si>
    <t>交通性鞘膜积液（高位结扎术）按此项目收费。</t>
  </si>
  <si>
    <t>013312000040001</t>
  </si>
  <si>
    <r>
      <rPr>
        <sz val="12"/>
        <rFont val="宋体"/>
        <charset val="134"/>
      </rPr>
      <t>睾丸鞘膜翻转费</t>
    </r>
    <r>
      <rPr>
        <sz val="12"/>
        <rFont val="Times New Roman"/>
        <charset val="0"/>
      </rPr>
      <t>-</t>
    </r>
    <r>
      <rPr>
        <sz val="12"/>
        <rFont val="宋体"/>
        <charset val="134"/>
      </rPr>
      <t>儿童（加收）</t>
    </r>
  </si>
  <si>
    <t>013312000050000</t>
  </si>
  <si>
    <t>睾丸修补费</t>
  </si>
  <si>
    <t>通过手术修补缝合睾丸。</t>
  </si>
  <si>
    <t>所定价格涵盖手术计划、术区准备、消毒、切开、探查、修补、关闭、缝合、处理用物等步骤所需的人力资源和基本物质资源消耗。</t>
  </si>
  <si>
    <t>013312000050001</t>
  </si>
  <si>
    <r>
      <rPr>
        <sz val="12"/>
        <rFont val="宋体"/>
        <charset val="134"/>
      </rPr>
      <t>睾丸修补费</t>
    </r>
    <r>
      <rPr>
        <sz val="12"/>
        <rFont val="Times New Roman"/>
        <charset val="0"/>
      </rPr>
      <t>-</t>
    </r>
    <r>
      <rPr>
        <sz val="12"/>
        <rFont val="宋体"/>
        <charset val="134"/>
      </rPr>
      <t>儿童（加收）</t>
    </r>
  </si>
  <si>
    <t>013312000060000</t>
  </si>
  <si>
    <t>睾丸扭转复位费</t>
  </si>
  <si>
    <t>通过手术将扭转睾丸或附件复位固定。</t>
  </si>
  <si>
    <t>所定价格涵盖手术计划、术区准备、消毒、切开、探查、修补、复位、关闭、缝合、处理用物等步骤所需的人力资源和基本物质资源消耗。</t>
  </si>
  <si>
    <t>013312000060001</t>
  </si>
  <si>
    <r>
      <rPr>
        <sz val="12"/>
        <rFont val="宋体"/>
        <charset val="134"/>
      </rPr>
      <t>睾丸扭转复位费</t>
    </r>
    <r>
      <rPr>
        <sz val="12"/>
        <rFont val="Times New Roman"/>
        <charset val="0"/>
      </rPr>
      <t>-</t>
    </r>
    <r>
      <rPr>
        <sz val="12"/>
        <rFont val="宋体"/>
        <charset val="134"/>
      </rPr>
      <t>儿童（加收）</t>
    </r>
  </si>
  <si>
    <t>013312000070000</t>
  </si>
  <si>
    <t>鞘膜积液穿刺费</t>
  </si>
  <si>
    <t>通过手术穿刺鞘膜积液。</t>
  </si>
  <si>
    <t>所定价格涵盖消毒、穿刺、抽出内容物、包扎、冷敷等步骤所需的人力资源和基本物质资源消耗。</t>
  </si>
  <si>
    <t>013312000070001</t>
  </si>
  <si>
    <r>
      <rPr>
        <sz val="12"/>
        <rFont val="宋体"/>
        <charset val="134"/>
      </rPr>
      <t>鞘膜积液穿刺费</t>
    </r>
    <r>
      <rPr>
        <sz val="12"/>
        <rFont val="Times New Roman"/>
        <charset val="0"/>
      </rPr>
      <t>-</t>
    </r>
    <r>
      <rPr>
        <sz val="12"/>
        <rFont val="宋体"/>
        <charset val="134"/>
      </rPr>
      <t>儿童（加收）</t>
    </r>
  </si>
  <si>
    <t>013312000080000</t>
  </si>
  <si>
    <t>输精管阻断费</t>
  </si>
  <si>
    <t>通过手术阻断输精管。</t>
  </si>
  <si>
    <t>所定价格涵盖手术计划、术区准备、消毒、切开、定位输精管、阻断、缝合、处理用物等步骤所需的人力资源和基本物质资源消耗。</t>
  </si>
  <si>
    <t>013312000080001</t>
  </si>
  <si>
    <r>
      <rPr>
        <sz val="12"/>
        <rFont val="宋体"/>
        <charset val="134"/>
      </rPr>
      <t>输精管阻断费</t>
    </r>
    <r>
      <rPr>
        <sz val="12"/>
        <rFont val="Times New Roman"/>
        <charset val="0"/>
      </rPr>
      <t>-</t>
    </r>
    <r>
      <rPr>
        <sz val="12"/>
        <rFont val="宋体"/>
        <charset val="134"/>
      </rPr>
      <t>儿童（加收）</t>
    </r>
  </si>
  <si>
    <t>013312000090000</t>
  </si>
  <si>
    <t>输精管吻合费</t>
  </si>
  <si>
    <t>通过手术吻合输精管。</t>
  </si>
  <si>
    <t>所定价格涵盖手术计划、术区准备、消毒、切开、定位断端、瘢痕切除、通畅实验、定点画线、缝合、处理用物等步骤所需的人力资源和基本物质资源消耗。</t>
  </si>
  <si>
    <t>013312000090001</t>
  </si>
  <si>
    <r>
      <rPr>
        <sz val="12"/>
        <rFont val="宋体"/>
        <charset val="134"/>
      </rPr>
      <t>输精管吻合费</t>
    </r>
    <r>
      <rPr>
        <sz val="12"/>
        <rFont val="Times New Roman"/>
        <charset val="0"/>
      </rPr>
      <t>-</t>
    </r>
    <r>
      <rPr>
        <sz val="12"/>
        <rFont val="宋体"/>
        <charset val="134"/>
      </rPr>
      <t>输精管附睾吻合（加收）</t>
    </r>
  </si>
  <si>
    <t>013312000090011</t>
  </si>
  <si>
    <r>
      <rPr>
        <sz val="12"/>
        <rFont val="宋体"/>
        <charset val="134"/>
      </rPr>
      <t>输精管吻合费</t>
    </r>
    <r>
      <rPr>
        <sz val="12"/>
        <rFont val="Times New Roman"/>
        <charset val="0"/>
      </rPr>
      <t>-</t>
    </r>
    <r>
      <rPr>
        <sz val="12"/>
        <rFont val="宋体"/>
        <charset val="134"/>
      </rPr>
      <t>儿童（加收）</t>
    </r>
  </si>
  <si>
    <t>013312000100000</t>
  </si>
  <si>
    <t>射精管梗阻治疗费</t>
  </si>
  <si>
    <t>通过手术治疗射精管梗阻。</t>
  </si>
  <si>
    <t>所定价格涵盖手术计划、术区准备、消毒、切开前列腺小囊、止血、缝合、处理用物等步骤所需的人力资源和基本物质资源消耗。</t>
  </si>
  <si>
    <t>013312000100001</t>
  </si>
  <si>
    <r>
      <rPr>
        <sz val="12"/>
        <rFont val="宋体"/>
        <charset val="134"/>
      </rPr>
      <t>射精管梗阻治疗费</t>
    </r>
    <r>
      <rPr>
        <sz val="12"/>
        <rFont val="Times New Roman"/>
        <charset val="0"/>
      </rPr>
      <t>-</t>
    </r>
    <r>
      <rPr>
        <sz val="12"/>
        <rFont val="宋体"/>
        <charset val="134"/>
      </rPr>
      <t>儿童（加收）</t>
    </r>
  </si>
  <si>
    <t>013312000110000</t>
  </si>
  <si>
    <t>精囊冲洗费</t>
  </si>
  <si>
    <t>通过手术冲洗精囊。</t>
  </si>
  <si>
    <t>所定价格涵盖手术计划、术区准备、消毒、插管、反复冲洗精囊等步骤的人力资源和基本物质资源消耗。</t>
  </si>
  <si>
    <t>013312000110001</t>
  </si>
  <si>
    <r>
      <rPr>
        <sz val="12"/>
        <rFont val="宋体"/>
        <charset val="134"/>
      </rPr>
      <t>精囊冲洗费</t>
    </r>
    <r>
      <rPr>
        <sz val="12"/>
        <rFont val="Times New Roman"/>
        <charset val="0"/>
      </rPr>
      <t>-</t>
    </r>
    <r>
      <rPr>
        <sz val="12"/>
        <rFont val="宋体"/>
        <charset val="134"/>
      </rPr>
      <t>儿童（加收）</t>
    </r>
  </si>
  <si>
    <t>013312000120000</t>
  </si>
  <si>
    <t>精囊肿物切除费</t>
  </si>
  <si>
    <t>通过手术切除精囊肿物。</t>
  </si>
  <si>
    <t>所定价格涵盖手术计划、术区准备、消毒、切开、切除精囊肿物、吻合、关闭、缝合、处理用物等步骤所需的人力资源和基本物质资源消耗。</t>
  </si>
  <si>
    <t>013312000120001</t>
  </si>
  <si>
    <r>
      <rPr>
        <sz val="12"/>
        <rFont val="宋体"/>
        <charset val="134"/>
      </rPr>
      <t>精囊肿物切除费</t>
    </r>
    <r>
      <rPr>
        <sz val="12"/>
        <rFont val="Times New Roman"/>
        <charset val="0"/>
      </rPr>
      <t>-</t>
    </r>
    <r>
      <rPr>
        <sz val="12"/>
        <rFont val="宋体"/>
        <charset val="134"/>
      </rPr>
      <t>恶性肿瘤切除（加收）</t>
    </r>
  </si>
  <si>
    <t>013312000120011</t>
  </si>
  <si>
    <r>
      <rPr>
        <sz val="12"/>
        <rFont val="宋体"/>
        <charset val="134"/>
      </rPr>
      <t>精囊肿物切除费</t>
    </r>
    <r>
      <rPr>
        <sz val="12"/>
        <rFont val="Times New Roman"/>
        <charset val="0"/>
      </rPr>
      <t>-</t>
    </r>
    <r>
      <rPr>
        <sz val="12"/>
        <rFont val="宋体"/>
        <charset val="134"/>
      </rPr>
      <t>儿童（加收）</t>
    </r>
  </si>
  <si>
    <t>013312000130000</t>
  </si>
  <si>
    <t>精索静脉曲张结扎费</t>
  </si>
  <si>
    <t>通过手术结扎精索静脉。</t>
  </si>
  <si>
    <t>所定价格涵盖手术计划、术区准备、消毒、切开、定位、结扎、关闭、缝合、处理用物等步骤所需的人力资源和基本物质资源消耗。</t>
  </si>
  <si>
    <t>013312000130001</t>
  </si>
  <si>
    <r>
      <rPr>
        <sz val="12"/>
        <rFont val="宋体"/>
        <charset val="134"/>
      </rPr>
      <t>精索静脉曲张结扎费</t>
    </r>
    <r>
      <rPr>
        <sz val="12"/>
        <rFont val="Times New Roman"/>
        <charset val="0"/>
      </rPr>
      <t>-</t>
    </r>
    <r>
      <rPr>
        <sz val="12"/>
        <rFont val="宋体"/>
        <charset val="134"/>
      </rPr>
      <t>儿童（加收）</t>
    </r>
  </si>
  <si>
    <t>013312000130100</t>
  </si>
  <si>
    <r>
      <rPr>
        <sz val="12"/>
        <rFont val="宋体"/>
        <charset val="134"/>
      </rPr>
      <t>精索静脉曲张结扎费</t>
    </r>
    <r>
      <rPr>
        <sz val="12"/>
        <rFont val="Times New Roman"/>
        <charset val="0"/>
      </rPr>
      <t>-</t>
    </r>
    <r>
      <rPr>
        <sz val="12"/>
        <rFont val="宋体"/>
        <charset val="134"/>
      </rPr>
      <t>精索静脉瘤切除（扩展）</t>
    </r>
  </si>
  <si>
    <t>013312000140000</t>
  </si>
  <si>
    <t>精索静脉曲张栓塞费</t>
  </si>
  <si>
    <t>通过各种方式栓塞精索静脉曲张。</t>
  </si>
  <si>
    <t>所定价格涵盖手术计划、术区准备、消毒、切开、栓塞治疗、缝合、处理用物等步骤所需的人力资源和基本物质资源消耗。</t>
  </si>
  <si>
    <t>013312000140001</t>
  </si>
  <si>
    <r>
      <rPr>
        <sz val="12"/>
        <rFont val="宋体"/>
        <charset val="134"/>
      </rPr>
      <t>精索静脉曲张栓塞费</t>
    </r>
    <r>
      <rPr>
        <sz val="12"/>
        <rFont val="Times New Roman"/>
        <charset val="0"/>
      </rPr>
      <t>-</t>
    </r>
    <r>
      <rPr>
        <sz val="12"/>
        <rFont val="宋体"/>
        <charset val="134"/>
      </rPr>
      <t>儿童（加收）</t>
    </r>
  </si>
  <si>
    <t>013111000030000</t>
  </si>
  <si>
    <t>前列腺按摩费</t>
  </si>
  <si>
    <t>通过各种方式按压挤出前列腺液。</t>
  </si>
  <si>
    <t>所定价格涵盖消毒、定位、按摩、处理用物等步骤所需的人力资源和基本物质资源消耗。</t>
  </si>
  <si>
    <t>013111000040000</t>
  </si>
  <si>
    <t>前列腺注射费</t>
  </si>
  <si>
    <t>对前列腺局部注射药物。</t>
  </si>
  <si>
    <t>所定价格涵盖消毒、注射、处理用物等步骤所需的人力资源和基本物质资源消耗。</t>
  </si>
  <si>
    <t>013312000150000</t>
  </si>
  <si>
    <t>前列腺部分切除费</t>
  </si>
  <si>
    <t>通过手术切除部分前列腺。</t>
  </si>
  <si>
    <t>所定价格涵盖手术计划、术区准备、消毒、切开、冲洗、分离、切除、缝合、处理用物等步骤所需的人力资源和基本物质资源消耗。</t>
  </si>
  <si>
    <t>013312000150001</t>
  </si>
  <si>
    <r>
      <rPr>
        <sz val="12"/>
        <rFont val="宋体"/>
        <charset val="134"/>
      </rPr>
      <t>前列腺部分切除费</t>
    </r>
    <r>
      <rPr>
        <sz val="12"/>
        <rFont val="Times New Roman"/>
        <charset val="0"/>
      </rPr>
      <t>-</t>
    </r>
    <r>
      <rPr>
        <sz val="12"/>
        <rFont val="宋体"/>
        <charset val="134"/>
      </rPr>
      <t>儿童（加收）</t>
    </r>
  </si>
  <si>
    <t>013312000160000</t>
  </si>
  <si>
    <t>前列腺全切费</t>
  </si>
  <si>
    <t>通过手术切除全部前列腺。</t>
  </si>
  <si>
    <t>所定价格涵盖手术计划、术区准备、消毒、切开、分离、切除、缝合、处理用物等步骤所需的人力资源和基本物质资源消耗。</t>
  </si>
  <si>
    <t>013312000160001</t>
  </si>
  <si>
    <r>
      <rPr>
        <sz val="12"/>
        <rFont val="宋体"/>
        <charset val="134"/>
      </rPr>
      <t>前列腺全切费</t>
    </r>
    <r>
      <rPr>
        <sz val="12"/>
        <rFont val="Times New Roman"/>
        <charset val="0"/>
      </rPr>
      <t>-</t>
    </r>
    <r>
      <rPr>
        <sz val="12"/>
        <rFont val="宋体"/>
        <charset val="134"/>
      </rPr>
      <t>保留性神经（加收）</t>
    </r>
  </si>
  <si>
    <t>013312000160011</t>
  </si>
  <si>
    <r>
      <rPr>
        <sz val="12"/>
        <rFont val="宋体"/>
        <charset val="134"/>
      </rPr>
      <t>前列腺全切费</t>
    </r>
    <r>
      <rPr>
        <sz val="12"/>
        <rFont val="Times New Roman"/>
        <charset val="0"/>
      </rPr>
      <t>-</t>
    </r>
    <r>
      <rPr>
        <sz val="12"/>
        <rFont val="宋体"/>
        <charset val="134"/>
      </rPr>
      <t>儿童（加收）</t>
    </r>
  </si>
  <si>
    <t>013312000170000</t>
  </si>
  <si>
    <t>前列腺囊肿引流费</t>
  </si>
  <si>
    <t>通过手术引流前列腺囊肿或脓肿。</t>
  </si>
  <si>
    <t>所定价格涵盖手术计划、术区准备、消毒、定位、切开、引流、包扎、缝合、处理用物等步骤所需的人力资源和基本物质资源消耗。</t>
  </si>
  <si>
    <t>013312000170001</t>
  </si>
  <si>
    <r>
      <rPr>
        <sz val="12"/>
        <rFont val="宋体"/>
        <charset val="134"/>
      </rPr>
      <t>前列腺囊肿引流费</t>
    </r>
    <r>
      <rPr>
        <sz val="12"/>
        <rFont val="Times New Roman"/>
        <charset val="0"/>
      </rPr>
      <t>-</t>
    </r>
    <r>
      <rPr>
        <sz val="12"/>
        <rFont val="宋体"/>
        <charset val="134"/>
      </rPr>
      <t>前列腺囊肿切除（加收）</t>
    </r>
  </si>
  <si>
    <t>013312000170011</t>
  </si>
  <si>
    <r>
      <rPr>
        <sz val="12"/>
        <rFont val="宋体"/>
        <charset val="134"/>
      </rPr>
      <t>前列腺囊肿引流费</t>
    </r>
    <r>
      <rPr>
        <sz val="12"/>
        <rFont val="Times New Roman"/>
        <charset val="0"/>
      </rPr>
      <t>-</t>
    </r>
    <r>
      <rPr>
        <sz val="12"/>
        <rFont val="宋体"/>
        <charset val="134"/>
      </rPr>
      <t>儿童（加收）</t>
    </r>
  </si>
  <si>
    <t>013312000180000</t>
  </si>
  <si>
    <t>阴囊肿物切除费</t>
  </si>
  <si>
    <t>通过手术切除阴囊内肿物。</t>
  </si>
  <si>
    <t>所定价格涵盖手术计划、术区准备、消毒、切开、切除、关闭、缝合、处理用物等步骤所需的人力资源和基本物质资源消耗。</t>
  </si>
  <si>
    <t>013312000180001</t>
  </si>
  <si>
    <r>
      <rPr>
        <sz val="12"/>
        <rFont val="宋体"/>
        <charset val="134"/>
      </rPr>
      <t>阴囊肿物切除费</t>
    </r>
    <r>
      <rPr>
        <sz val="12"/>
        <rFont val="Times New Roman"/>
        <charset val="0"/>
      </rPr>
      <t>-</t>
    </r>
    <r>
      <rPr>
        <sz val="12"/>
        <rFont val="宋体"/>
        <charset val="134"/>
      </rPr>
      <t>恶性肿瘤切除（加收）</t>
    </r>
  </si>
  <si>
    <t>013312000180011</t>
  </si>
  <si>
    <r>
      <rPr>
        <sz val="12"/>
        <rFont val="宋体"/>
        <charset val="134"/>
      </rPr>
      <t>阴囊肿物切除费</t>
    </r>
    <r>
      <rPr>
        <sz val="12"/>
        <rFont val="Times New Roman"/>
        <charset val="0"/>
      </rPr>
      <t>-</t>
    </r>
    <r>
      <rPr>
        <sz val="12"/>
        <rFont val="宋体"/>
        <charset val="134"/>
      </rPr>
      <t>儿童（加收）</t>
    </r>
  </si>
  <si>
    <t>013312000190000</t>
  </si>
  <si>
    <t>阴囊病变清创引流费</t>
  </si>
  <si>
    <t>通过手术对阴囊脓性肿物进行清创引流。</t>
  </si>
  <si>
    <t>所定价格涵盖手术计划、术区准备、消毒、切开、清创、引流、缝合、处理用物等步骤所需的人力资源和基本物质资源消耗。</t>
  </si>
  <si>
    <t>013312000190001</t>
  </si>
  <si>
    <r>
      <rPr>
        <sz val="12"/>
        <rFont val="宋体"/>
        <charset val="134"/>
      </rPr>
      <t>阴囊病变清创引流费</t>
    </r>
    <r>
      <rPr>
        <sz val="12"/>
        <rFont val="Times New Roman"/>
        <charset val="0"/>
      </rPr>
      <t>-</t>
    </r>
    <r>
      <rPr>
        <sz val="12"/>
        <rFont val="宋体"/>
        <charset val="134"/>
      </rPr>
      <t>儿童（加收）</t>
    </r>
  </si>
  <si>
    <t>013111000050000</t>
  </si>
  <si>
    <t>阴茎海绵体药物注射费</t>
  </si>
  <si>
    <t>向患者阴茎海绵体内注入药物。</t>
  </si>
  <si>
    <t>所定价格涵盖消毒、穿刺、注药、止血、包扎等步骤所需的人力资源和基本物质资源消耗。</t>
  </si>
  <si>
    <t>013111000060000</t>
  </si>
  <si>
    <t>阴茎海绵体灌流治疗费</t>
  </si>
  <si>
    <t>通过抽吸、冲洗等方式治疗阴茎异常勃起。</t>
  </si>
  <si>
    <t>所定价格涵盖消毒、设备准备、灌流、观察等步骤所需的人力资源和基本物质资源消耗。</t>
  </si>
  <si>
    <t>013312000200000</t>
  </si>
  <si>
    <t>阴茎部分切除费</t>
  </si>
  <si>
    <t>通过手术切除部分阴茎、肿物、囊肿、硬性结节。</t>
  </si>
  <si>
    <t>所定价格涵盖手术计划、术区准备、消毒、切开、分离、切除、缝合及必要时尿道口整形、处理用物等步骤所需的人力资源和基本物质资源消耗。</t>
  </si>
  <si>
    <t>013312000200001</t>
  </si>
  <si>
    <r>
      <rPr>
        <sz val="12"/>
        <rFont val="宋体"/>
        <charset val="134"/>
      </rPr>
      <t>阴茎部分切除费</t>
    </r>
    <r>
      <rPr>
        <sz val="12"/>
        <rFont val="Times New Roman"/>
        <charset val="0"/>
      </rPr>
      <t>-</t>
    </r>
    <r>
      <rPr>
        <sz val="12"/>
        <rFont val="宋体"/>
        <charset val="134"/>
      </rPr>
      <t>儿童（加收）</t>
    </r>
  </si>
  <si>
    <t>013312000210000</t>
  </si>
  <si>
    <t>阴茎全切费</t>
  </si>
  <si>
    <t>通过手术切除全部阴茎，改道尿道。</t>
  </si>
  <si>
    <t>所定价格涵盖手术计划、术区准备、消毒、切开、海绵体切断、尿道游离、重建尿道外口、缝合、处理用物等步骤所需的人力资源和基本物质资源消耗。</t>
  </si>
  <si>
    <t>013312000210001</t>
  </si>
  <si>
    <r>
      <rPr>
        <sz val="12"/>
        <rFont val="宋体"/>
        <charset val="134"/>
      </rPr>
      <t>阴茎全切费</t>
    </r>
    <r>
      <rPr>
        <sz val="12"/>
        <rFont val="Times New Roman"/>
        <charset val="0"/>
      </rPr>
      <t>-</t>
    </r>
    <r>
      <rPr>
        <sz val="12"/>
        <rFont val="宋体"/>
        <charset val="134"/>
      </rPr>
      <t>阴茎阴囊全切（加收）</t>
    </r>
  </si>
  <si>
    <t>013312000210011</t>
  </si>
  <si>
    <r>
      <rPr>
        <sz val="12"/>
        <rFont val="宋体"/>
        <charset val="134"/>
      </rPr>
      <t>阴茎全切费</t>
    </r>
    <r>
      <rPr>
        <sz val="12"/>
        <rFont val="Times New Roman"/>
        <charset val="0"/>
      </rPr>
      <t>-</t>
    </r>
    <r>
      <rPr>
        <sz val="12"/>
        <rFont val="宋体"/>
        <charset val="134"/>
      </rPr>
      <t>儿童（加收）</t>
    </r>
  </si>
  <si>
    <t>013312000220000</t>
  </si>
  <si>
    <t>阴茎假体置入费</t>
  </si>
  <si>
    <t>通过手术置入阴茎假体。</t>
  </si>
  <si>
    <t>所定价格涵盖手术计划、术区准备、消毒、切开、置入假体、关闭、缝合、处理用物等步骤所需的人力资源和基本物质资源消耗。</t>
  </si>
  <si>
    <r>
      <rPr>
        <sz val="12"/>
        <rFont val="宋体"/>
        <charset val="134"/>
      </rPr>
      <t>不与</t>
    </r>
    <r>
      <rPr>
        <sz val="12"/>
        <rFont val="Times New Roman"/>
        <charset val="0"/>
      </rPr>
      <t>“</t>
    </r>
    <r>
      <rPr>
        <sz val="12"/>
        <rFont val="宋体"/>
        <charset val="134"/>
      </rPr>
      <t>阴茎假体更换费</t>
    </r>
    <r>
      <rPr>
        <sz val="12"/>
        <rFont val="Times New Roman"/>
        <charset val="0"/>
      </rPr>
      <t>”</t>
    </r>
    <r>
      <rPr>
        <sz val="12"/>
        <rFont val="宋体"/>
        <charset val="134"/>
      </rPr>
      <t>同时收取。</t>
    </r>
  </si>
  <si>
    <t>013312000220001</t>
  </si>
  <si>
    <r>
      <rPr>
        <sz val="12"/>
        <rFont val="宋体"/>
        <charset val="134"/>
      </rPr>
      <t>阴茎假体置入费</t>
    </r>
    <r>
      <rPr>
        <sz val="12"/>
        <rFont val="Times New Roman"/>
        <charset val="0"/>
      </rPr>
      <t>-</t>
    </r>
    <r>
      <rPr>
        <sz val="12"/>
        <rFont val="宋体"/>
        <charset val="134"/>
      </rPr>
      <t>儿童（加收）</t>
    </r>
  </si>
  <si>
    <t>013312000230000</t>
  </si>
  <si>
    <t>阴茎假体取出费</t>
  </si>
  <si>
    <t>通过手术取出阴茎假体。</t>
  </si>
  <si>
    <t>所定价格涵盖手术计划、术区准备、消毒、切开、取出假体、关闭、缝合、处理用物等步骤所需的人力资源和基本物质资源消耗。</t>
  </si>
  <si>
    <t>013312000230001</t>
  </si>
  <si>
    <r>
      <rPr>
        <sz val="12"/>
        <rFont val="宋体"/>
        <charset val="134"/>
      </rPr>
      <t>阴茎假体取出费</t>
    </r>
    <r>
      <rPr>
        <sz val="12"/>
        <rFont val="Times New Roman"/>
        <charset val="0"/>
      </rPr>
      <t>-</t>
    </r>
    <r>
      <rPr>
        <sz val="12"/>
        <rFont val="宋体"/>
        <charset val="134"/>
      </rPr>
      <t>儿童（加收）</t>
    </r>
  </si>
  <si>
    <t>013312000240000</t>
  </si>
  <si>
    <t>阴茎假体更换费</t>
  </si>
  <si>
    <t>通过手术更换阴茎假体。</t>
  </si>
  <si>
    <t>所定价格涵盖手术计划、术区准备、消毒、切开、取出假体、再次置入、关闭、缝合、处理用物等步骤所需的人力资源和基本物质资源消耗。</t>
  </si>
  <si>
    <r>
      <rPr>
        <sz val="12"/>
        <rFont val="宋体"/>
        <charset val="134"/>
      </rPr>
      <t>不与</t>
    </r>
    <r>
      <rPr>
        <sz val="12"/>
        <rFont val="Times New Roman"/>
        <charset val="0"/>
      </rPr>
      <t>“</t>
    </r>
    <r>
      <rPr>
        <sz val="12"/>
        <rFont val="宋体"/>
        <charset val="134"/>
      </rPr>
      <t>阴茎假体置入费</t>
    </r>
    <r>
      <rPr>
        <sz val="12"/>
        <rFont val="Times New Roman"/>
        <charset val="0"/>
      </rPr>
      <t>”“</t>
    </r>
    <r>
      <rPr>
        <sz val="12"/>
        <rFont val="宋体"/>
        <charset val="134"/>
      </rPr>
      <t>阴茎假体取出费</t>
    </r>
    <r>
      <rPr>
        <sz val="12"/>
        <rFont val="Times New Roman"/>
        <charset val="0"/>
      </rPr>
      <t>”</t>
    </r>
    <r>
      <rPr>
        <sz val="12"/>
        <rFont val="宋体"/>
        <charset val="134"/>
      </rPr>
      <t>同时收取。</t>
    </r>
  </si>
  <si>
    <t>013312000240001</t>
  </si>
  <si>
    <r>
      <rPr>
        <sz val="12"/>
        <rFont val="宋体"/>
        <charset val="134"/>
      </rPr>
      <t>阴茎假体更换费</t>
    </r>
    <r>
      <rPr>
        <sz val="12"/>
        <rFont val="Times New Roman"/>
        <charset val="0"/>
      </rPr>
      <t>-</t>
    </r>
    <r>
      <rPr>
        <sz val="12"/>
        <rFont val="宋体"/>
        <charset val="134"/>
      </rPr>
      <t>儿童（加收）</t>
    </r>
  </si>
  <si>
    <t>013312000250000</t>
  </si>
  <si>
    <t>阴茎再植费</t>
  </si>
  <si>
    <t>通过手术实现异体同种或自体阴茎再植。</t>
  </si>
  <si>
    <t>所定价格涵盖手术计划、术区准备、消毒、切开、术前或术中整复、阴茎再植、关闭、缝合、处理用物等步骤所需的人力资源和基本物质资源消耗。</t>
  </si>
  <si>
    <t>013312000250001</t>
  </si>
  <si>
    <r>
      <rPr>
        <sz val="12"/>
        <rFont val="宋体"/>
        <charset val="134"/>
      </rPr>
      <t>阴茎再植费</t>
    </r>
    <r>
      <rPr>
        <sz val="12"/>
        <rFont val="Times New Roman"/>
        <charset val="0"/>
      </rPr>
      <t>-</t>
    </r>
    <r>
      <rPr>
        <sz val="12"/>
        <rFont val="宋体"/>
        <charset val="134"/>
      </rPr>
      <t>儿童（加收）</t>
    </r>
  </si>
  <si>
    <t>013312000250100</t>
  </si>
  <si>
    <r>
      <rPr>
        <sz val="12"/>
        <rFont val="宋体"/>
        <charset val="134"/>
      </rPr>
      <t>阴茎再植费</t>
    </r>
    <r>
      <rPr>
        <sz val="12"/>
        <rFont val="Times New Roman"/>
        <charset val="0"/>
      </rPr>
      <t>-</t>
    </r>
    <r>
      <rPr>
        <sz val="12"/>
        <rFont val="宋体"/>
        <charset val="134"/>
      </rPr>
      <t>异种器官（扩展）</t>
    </r>
  </si>
  <si>
    <t>013312000260000</t>
  </si>
  <si>
    <t>阴茎畸型整形费</t>
  </si>
  <si>
    <t>通过手术校正畸形阴茎。</t>
  </si>
  <si>
    <t>所定价格涵盖手术计划、术区准备、消毒、切开、阴茎校正、纤维瘢痕组织切除、阴茎悬韧带切断、吻合、关闭、缝合、处理用物等步骤所需的人力资源和基本物质资源消耗。</t>
  </si>
  <si>
    <t>此项目价格基于疾病治疗的目的，美容整形相关项目价格在美容整形类立项指南中另行规范。</t>
  </si>
  <si>
    <t>013312000260001</t>
  </si>
  <si>
    <r>
      <rPr>
        <sz val="12"/>
        <rFont val="宋体"/>
        <charset val="134"/>
      </rPr>
      <t>阴茎畸型整形费</t>
    </r>
    <r>
      <rPr>
        <sz val="12"/>
        <rFont val="Times New Roman"/>
        <charset val="0"/>
      </rPr>
      <t>-</t>
    </r>
    <r>
      <rPr>
        <sz val="12"/>
        <rFont val="宋体"/>
        <charset val="134"/>
      </rPr>
      <t>儿童（加收）</t>
    </r>
  </si>
  <si>
    <t>013312000270000</t>
  </si>
  <si>
    <t>尿道阴茎海绵体分流费</t>
  </si>
  <si>
    <t>通过手术分离尿道与阴茎海绵体结构。</t>
  </si>
  <si>
    <t>所定价格涵盖手术计划、术区准备、消毒、切开、分离、建立通道、关闭、缝合、处理用物等步骤所需的人力资源和基本物质资源消耗。</t>
  </si>
  <si>
    <t>013312000270001</t>
  </si>
  <si>
    <r>
      <rPr>
        <sz val="12"/>
        <rFont val="宋体"/>
        <charset val="134"/>
      </rPr>
      <t>尿道阴茎海绵体分流费</t>
    </r>
    <r>
      <rPr>
        <sz val="12"/>
        <rFont val="Times New Roman"/>
        <charset val="0"/>
      </rPr>
      <t>-</t>
    </r>
    <r>
      <rPr>
        <sz val="12"/>
        <rFont val="宋体"/>
        <charset val="134"/>
      </rPr>
      <t>儿童（加收）</t>
    </r>
  </si>
  <si>
    <t>013312000280000</t>
  </si>
  <si>
    <t>阴茎损伤修补费</t>
  </si>
  <si>
    <t>通过各种方式缝合修补阴茎白膜及海绵体。</t>
  </si>
  <si>
    <t>所定价格涵盖手术计划、术区准备、消毒、切开、修补、关闭、缝合、处理用物等步骤所需的人力资源和基本物质资源消耗。</t>
  </si>
  <si>
    <t>013312000280001</t>
  </si>
  <si>
    <r>
      <rPr>
        <sz val="12"/>
        <rFont val="宋体"/>
        <charset val="134"/>
      </rPr>
      <t>阴茎损伤修补费</t>
    </r>
    <r>
      <rPr>
        <sz val="12"/>
        <rFont val="Times New Roman"/>
        <charset val="0"/>
      </rPr>
      <t>-</t>
    </r>
    <r>
      <rPr>
        <sz val="12"/>
        <rFont val="宋体"/>
        <charset val="134"/>
      </rPr>
      <t>儿童（加收）</t>
    </r>
  </si>
  <si>
    <t>013111000070000</t>
  </si>
  <si>
    <t>包皮手法复位费</t>
  </si>
  <si>
    <t>通过手法复位改善包皮异常状态。</t>
  </si>
  <si>
    <t>所定价格涵盖消毒、扩张、包皮复位、处理用物等步骤所需的人力资源和基本物质资源消耗。</t>
  </si>
  <si>
    <t>013312000290000</t>
  </si>
  <si>
    <t>包皮整复费</t>
  </si>
  <si>
    <t>通过手术改善包皮异常状态。</t>
  </si>
  <si>
    <t>所定价格涵盖手术计划、术区准备、消毒、包皮分离、处理用物等步骤所需的人力资源和基本物质资源消耗。</t>
  </si>
  <si>
    <t>013312000290001</t>
  </si>
  <si>
    <r>
      <rPr>
        <sz val="12"/>
        <rFont val="宋体"/>
        <charset val="134"/>
      </rPr>
      <t>包皮整复费</t>
    </r>
    <r>
      <rPr>
        <sz val="12"/>
        <rFont val="Times New Roman"/>
        <charset val="0"/>
      </rPr>
      <t>-</t>
    </r>
    <r>
      <rPr>
        <sz val="12"/>
        <rFont val="宋体"/>
        <charset val="134"/>
      </rPr>
      <t>儿童（加收）</t>
    </r>
  </si>
  <si>
    <t>013312000300000</t>
  </si>
  <si>
    <t>包皮切除费</t>
  </si>
  <si>
    <t>通过手术切除分离包皮组织。</t>
  </si>
  <si>
    <t>所定价格涵盖手术计划、术区准备、消毒、切除、松解或结扎、缝合、处理用物等步骤所需的人力资源和基本物质资源消耗。</t>
  </si>
  <si>
    <t>013312000300001</t>
  </si>
  <si>
    <r>
      <rPr>
        <sz val="12"/>
        <rFont val="宋体"/>
        <charset val="134"/>
      </rPr>
      <t>包皮切除费</t>
    </r>
    <r>
      <rPr>
        <sz val="12"/>
        <rFont val="Times New Roman"/>
        <charset val="0"/>
      </rPr>
      <t>-</t>
    </r>
    <r>
      <rPr>
        <sz val="12"/>
        <rFont val="宋体"/>
        <charset val="134"/>
      </rPr>
      <t>儿童（加收）</t>
    </r>
  </si>
  <si>
    <t>013311000430000</t>
  </si>
  <si>
    <t>腹膜后肿物切除费</t>
  </si>
  <si>
    <t>通过手术切除腹膜后肿物。</t>
  </si>
  <si>
    <t>013311000430001</t>
  </si>
  <si>
    <r>
      <rPr>
        <sz val="12"/>
        <rFont val="宋体"/>
        <charset val="134"/>
      </rPr>
      <t>腹膜后肿物切除费</t>
    </r>
    <r>
      <rPr>
        <sz val="12"/>
        <rFont val="Times New Roman"/>
        <charset val="0"/>
      </rPr>
      <t>-</t>
    </r>
    <r>
      <rPr>
        <sz val="12"/>
        <rFont val="宋体"/>
        <charset val="134"/>
      </rPr>
      <t>副神经节瘤（加收）</t>
    </r>
  </si>
  <si>
    <t>013311000430011</t>
  </si>
  <si>
    <r>
      <rPr>
        <sz val="12"/>
        <rFont val="宋体"/>
        <charset val="134"/>
      </rPr>
      <t>腹膜后肿物切除费</t>
    </r>
    <r>
      <rPr>
        <sz val="12"/>
        <rFont val="Times New Roman"/>
        <charset val="0"/>
      </rPr>
      <t>-</t>
    </r>
    <r>
      <rPr>
        <sz val="12"/>
        <rFont val="宋体"/>
        <charset val="134"/>
      </rPr>
      <t>儿童（加收）</t>
    </r>
  </si>
  <si>
    <t>012407000010000</t>
  </si>
  <si>
    <t>肺容积检查费</t>
  </si>
  <si>
    <t>通过各种方式测量肺容纳的气体量。</t>
  </si>
  <si>
    <t>所定价格涵盖设备准备、仪器测定、撤除、处理用物、出具报告等步骤所需的人力资源和基本物质资源消耗。</t>
  </si>
  <si>
    <t>呼吸系统类</t>
  </si>
  <si>
    <t>012407000020000</t>
  </si>
  <si>
    <t>肺通气功能检查费</t>
  </si>
  <si>
    <t>通过各种方式测量肺与外界环境之间的气体交换情况。</t>
  </si>
  <si>
    <t>支气管舒张试验按一次肺通气功能检查费收取。</t>
  </si>
  <si>
    <t>012407000020001</t>
  </si>
  <si>
    <r>
      <rPr>
        <sz val="12"/>
        <rFont val="宋体"/>
        <charset val="134"/>
      </rPr>
      <t>肺通气功能检查费</t>
    </r>
    <r>
      <rPr>
        <sz val="12"/>
        <rFont val="Times New Roman"/>
        <charset val="0"/>
      </rPr>
      <t>-</t>
    </r>
    <r>
      <rPr>
        <sz val="12"/>
        <rFont val="宋体"/>
        <charset val="134"/>
      </rPr>
      <t>儿童（加收）</t>
    </r>
  </si>
  <si>
    <t>012407000020011</t>
  </si>
  <si>
    <r>
      <rPr>
        <sz val="12"/>
        <rFont val="宋体"/>
        <charset val="134"/>
      </rPr>
      <t>肺通气功能检查费</t>
    </r>
    <r>
      <rPr>
        <sz val="12"/>
        <rFont val="Times New Roman"/>
        <charset val="0"/>
      </rPr>
      <t>-</t>
    </r>
    <r>
      <rPr>
        <sz val="12"/>
        <rFont val="宋体"/>
        <charset val="134"/>
      </rPr>
      <t>简易肺功能检查（减收）</t>
    </r>
  </si>
  <si>
    <t>012407000030000</t>
  </si>
  <si>
    <t>支气管激发试验检查费</t>
  </si>
  <si>
    <t>通过各种刺激方式评估气道反应性。</t>
  </si>
  <si>
    <t>012407000040000</t>
  </si>
  <si>
    <t>肺弥散功能检查费</t>
  </si>
  <si>
    <t>通过各种方式测量肺泡与肺毛细血管血液之间的气体交换情况。</t>
  </si>
  <si>
    <t>012407000050000</t>
  </si>
  <si>
    <t>呼吸阻力检查费</t>
  </si>
  <si>
    <t>通过各种方式测量气道内单位流量所产生的压力差。</t>
  </si>
  <si>
    <t>012407000060000</t>
  </si>
  <si>
    <t>运动心肺功能检查费</t>
  </si>
  <si>
    <t>通过在运动状态下监测心肺功能指标，判断心脏、肺脏和循环系统之间的相互作用与贮备能力。</t>
  </si>
  <si>
    <t>012407000070000</t>
  </si>
  <si>
    <t>肺阻抗血流图检查费</t>
  </si>
  <si>
    <t>通过测量肺部血流的物理性质和速度，检查肺部是否存在阻力增加。</t>
  </si>
  <si>
    <t>012407000080000</t>
  </si>
  <si>
    <t>肺电阻抗成像检查费</t>
  </si>
  <si>
    <t>通过检查呼吸周期中胸部电阻抗变化，检查肺部通气、血流等指标的变化。</t>
  </si>
  <si>
    <t>012407000090000</t>
  </si>
  <si>
    <t>呼吸肌功能检查费</t>
  </si>
  <si>
    <t>通过测量气道压力和流量变化等指标评估患者呼吸肌力量。</t>
  </si>
  <si>
    <t>012407000100000</t>
  </si>
  <si>
    <t>膈肌功能检查费</t>
  </si>
  <si>
    <t>通过电活动或压力测定，评估患者膈肌功能。</t>
  </si>
  <si>
    <t>012407000110000</t>
  </si>
  <si>
    <t>睡眠呼吸监测费</t>
  </si>
  <si>
    <t>对睡眠状态下患者呼吸行为状、呼吸功能进行监测，同步观察患者必要的生命体征及电生理指标。</t>
  </si>
  <si>
    <t>012407000110001</t>
  </si>
  <si>
    <r>
      <rPr>
        <sz val="12"/>
        <rFont val="宋体"/>
        <charset val="134"/>
      </rPr>
      <t>睡眠呼吸监测费</t>
    </r>
    <r>
      <rPr>
        <sz val="12"/>
        <rFont val="Times New Roman"/>
        <charset val="0"/>
      </rPr>
      <t>-</t>
    </r>
    <r>
      <rPr>
        <sz val="12"/>
        <rFont val="宋体"/>
        <charset val="134"/>
      </rPr>
      <t>便携睡眠呼吸监测（减收）</t>
    </r>
  </si>
  <si>
    <t>012407000120000</t>
  </si>
  <si>
    <r>
      <rPr>
        <sz val="12"/>
        <rFont val="宋体"/>
        <charset val="134"/>
      </rPr>
      <t>经皮氧分压</t>
    </r>
    <r>
      <rPr>
        <sz val="12"/>
        <rFont val="Times New Roman"/>
        <charset val="0"/>
      </rPr>
      <t>/</t>
    </r>
    <r>
      <rPr>
        <sz val="12"/>
        <rFont val="宋体"/>
        <charset val="134"/>
      </rPr>
      <t>二氧化碳监测费</t>
    </r>
  </si>
  <si>
    <r>
      <rPr>
        <sz val="12"/>
        <rFont val="宋体"/>
        <charset val="134"/>
      </rPr>
      <t>通过经皮测定方法，持续测定氧分压和</t>
    </r>
    <r>
      <rPr>
        <sz val="12"/>
        <rFont val="Times New Roman"/>
        <charset val="0"/>
      </rPr>
      <t>/</t>
    </r>
    <r>
      <rPr>
        <sz val="12"/>
        <rFont val="宋体"/>
        <charset val="134"/>
      </rPr>
      <t>或二氧化碳。</t>
    </r>
  </si>
  <si>
    <t>所定价格涵盖设备准备、仪器测定、撤除、处理用物等步骤所需的人力资源和基本物质资源消耗。</t>
  </si>
  <si>
    <t>012407000130000</t>
  </si>
  <si>
    <t>支气管镜检查费（常规内镜）</t>
  </si>
  <si>
    <t>通过支气管镜观察和诊断支气管、气管、气管壁或肺部等部位的疾病。</t>
  </si>
  <si>
    <t>所定价格涵盖设备准备、体位摆放、入镜、观察、图像采集、撤镜、处理用物、出具报告等步骤所需的人力资源和基本物质资源消耗。</t>
  </si>
  <si>
    <r>
      <rPr>
        <sz val="12"/>
        <rFont val="宋体"/>
        <charset val="134"/>
      </rPr>
      <t>本项目中的</t>
    </r>
    <r>
      <rPr>
        <sz val="12"/>
        <rFont val="Times New Roman"/>
        <charset val="0"/>
      </rPr>
      <t>“</t>
    </r>
    <r>
      <rPr>
        <sz val="12"/>
        <rFont val="宋体"/>
        <charset val="134"/>
      </rPr>
      <t>特殊光源</t>
    </r>
    <r>
      <rPr>
        <sz val="12"/>
        <rFont val="Times New Roman"/>
        <charset val="0"/>
      </rPr>
      <t>”</t>
    </r>
    <r>
      <rPr>
        <sz val="12"/>
        <rFont val="宋体"/>
        <charset val="134"/>
      </rPr>
      <t>指：荧光、窄谱光源。</t>
    </r>
  </si>
  <si>
    <t>012407000130001</t>
  </si>
  <si>
    <r>
      <rPr>
        <sz val="12"/>
        <rFont val="宋体"/>
        <charset val="134"/>
      </rPr>
      <t>支气管镜检查费（常规内镜）</t>
    </r>
    <r>
      <rPr>
        <sz val="12"/>
        <rFont val="Times New Roman"/>
        <charset val="0"/>
      </rPr>
      <t>-</t>
    </r>
    <r>
      <rPr>
        <sz val="12"/>
        <rFont val="宋体"/>
        <charset val="134"/>
      </rPr>
      <t>特殊光源检查（加收）</t>
    </r>
  </si>
  <si>
    <t>012407000140000</t>
  </si>
  <si>
    <t>支气管镜检查费（超声内镜）</t>
  </si>
  <si>
    <t>通过超声支气管镜观察和诊断支气管、气管、气管壁、气管腔外或肺部等部位的疾病。</t>
  </si>
  <si>
    <t>012407000150000</t>
  </si>
  <si>
    <t>支气管镜检查费（共聚焦激光显微内镜）</t>
  </si>
  <si>
    <t>通过共聚焦激光显微支气管镜观察和诊断支气管、气管、气管壁或肺部等部位的疾病。</t>
  </si>
  <si>
    <t>012407000160000</t>
  </si>
  <si>
    <t>肺叶通气功能检查费</t>
  </si>
  <si>
    <t>通过无创方式置入球囊导管，评估支气管通气情况。</t>
  </si>
  <si>
    <t>所定价格涵盖设备准备、体位摆放、导管置入、球囊充气、数据采集、设备撤除、处理用物人力资源、设备运转成本与基本物质资源消耗。</t>
  </si>
  <si>
    <t>012407000170000</t>
  </si>
  <si>
    <t>纵隔镜探查费</t>
  </si>
  <si>
    <t>通过纵隔镜观察和诊断纵隔、支气管、气管、胸腺、食管、淋巴结或肺部等部位的疾病。</t>
  </si>
  <si>
    <t>所定价格涵盖设备准备、体位摆放、切开、入镜、观察、撤镜、缝合、关闭、处理用物等手术步骤所需的人力资源和基本物质资源消耗。</t>
  </si>
  <si>
    <t>013106000010000</t>
  </si>
  <si>
    <t>体外膈肌起搏治疗费</t>
  </si>
  <si>
    <t>通过电刺激，诱导膈肌主动收缩。</t>
  </si>
  <si>
    <t>所定价格涵盖设备准备、连接电极、起搏治疗、撤除、处理用物等步骤所需的人力资源和基本物质资源消耗。</t>
  </si>
  <si>
    <t>013106000020000</t>
  </si>
  <si>
    <t>一氧化氮吸入治疗费</t>
  </si>
  <si>
    <t>通过吸入一氧化氮进行治疗。</t>
  </si>
  <si>
    <t>所定价格涵盖设备准备、气体调节、吸入治疗、调节、监测、处理用物等步骤所需的人力资源、设备运转成本消耗与基本物质资源消耗。</t>
  </si>
  <si>
    <t>013106000030000</t>
  </si>
  <si>
    <t>雾化吸入治疗费</t>
  </si>
  <si>
    <t>通过各种方式吸入气雾或气溶胶颗粒进行治疗。</t>
  </si>
  <si>
    <t>所定价格涵盖设备准备、成分制备、连接、调节、吸入、观察、记录、处理用物等所需的人力资源和基本物质资源消耗。</t>
  </si>
  <si>
    <t>多种药物确需分开雾化吸入的可分别计价收费。</t>
  </si>
  <si>
    <t>013106000040000</t>
  </si>
  <si>
    <t>全肺灌洗治疗费</t>
  </si>
  <si>
    <t>通过对单侧肺部进行全肺灌洗，清除大面积肺泡中的异物、分泌物和其他沉积物，不含气管插管费。</t>
  </si>
  <si>
    <t>所定价格涵盖患者评估准备、灌洗、观察监测、撤除、处理用物等步骤所需的人力资源、设备运转成本消耗与基本物质资源消耗。</t>
  </si>
  <si>
    <t>013106000050000</t>
  </si>
  <si>
    <t>支气管肺泡灌洗费</t>
  </si>
  <si>
    <t>通过无创方式清除特定肺段肺泡内异物、分泌物和其他沉积物或采集样本，不含内镜检查费。</t>
  </si>
  <si>
    <t>所定价格涵盖设备准备、镜下治疗、处理用物等步骤所需的人力资源、设备运转成本消耗与基本物质资源消耗。</t>
  </si>
  <si>
    <t>013106000060000</t>
  </si>
  <si>
    <t>支气管镜治疗费（常规）</t>
  </si>
  <si>
    <t>通过支气管镜进行滴药、冲洗、吸痰等常规治疗，不含内镜检查费。</t>
  </si>
  <si>
    <t>013106000070000</t>
  </si>
  <si>
    <t>支气管镜治疗费（特殊）</t>
  </si>
  <si>
    <t>通过支气管镜进行封堵、套圈、注药、球囊扩张，以及射频、微波、激光、凝固、冷冻、电凝、脉冲、光动力等各种特殊治疗，不含内镜检查费。</t>
  </si>
  <si>
    <t>013307000010000</t>
  </si>
  <si>
    <t>气道支架置入费</t>
  </si>
  <si>
    <t>通过无创方式置入气道支架，不含内镜检查费。</t>
  </si>
  <si>
    <t>所定价格涵盖患者评估准备、导丝引导、支架置入、必要时球囊扩张、处理用物等步骤所需的人力资源、设备运转成本消耗与基本物质资源消耗。</t>
  </si>
  <si>
    <t>013307000010001</t>
  </si>
  <si>
    <r>
      <rPr>
        <sz val="12"/>
        <rFont val="宋体"/>
        <charset val="134"/>
      </rPr>
      <t>气道支架置入费</t>
    </r>
    <r>
      <rPr>
        <sz val="12"/>
        <rFont val="Times New Roman"/>
        <charset val="0"/>
      </rPr>
      <t>-</t>
    </r>
    <r>
      <rPr>
        <sz val="12"/>
        <rFont val="宋体"/>
        <charset val="134"/>
      </rPr>
      <t>儿童（加收）</t>
    </r>
  </si>
  <si>
    <t>013307000020000</t>
  </si>
  <si>
    <t>气道支架取出费</t>
  </si>
  <si>
    <t>通过无创方式取出气道支架，不含内镜检查费。</t>
  </si>
  <si>
    <t>所定价格涵盖患者评估准备、支架取出、处理用物等步骤所需的人力资源、设备运转成本消耗与基本物质资源消耗。</t>
  </si>
  <si>
    <t>013307000020001</t>
  </si>
  <si>
    <r>
      <rPr>
        <sz val="12"/>
        <rFont val="宋体"/>
        <charset val="134"/>
      </rPr>
      <t>气道支架取出费</t>
    </r>
    <r>
      <rPr>
        <sz val="12"/>
        <rFont val="Times New Roman"/>
        <charset val="0"/>
      </rPr>
      <t>-</t>
    </r>
    <r>
      <rPr>
        <sz val="12"/>
        <rFont val="宋体"/>
        <charset val="134"/>
      </rPr>
      <t>儿童（加收）</t>
    </r>
  </si>
  <si>
    <t>013307000030000</t>
  </si>
  <si>
    <t>无创气管食管瘘修补费</t>
  </si>
  <si>
    <t>通过无创方式对气管和食管之间的异常连接进行修补，不含内镜检查费。</t>
  </si>
  <si>
    <t>所定价格涵盖设备准备、体位摆放、观察、气管食管瘘修补、撤镜、处理用物等步骤所需的人力资源、设备运转成本消耗与基本物质资源消耗。</t>
  </si>
  <si>
    <t>013307000030001</t>
  </si>
  <si>
    <t>无创气管食管瘘修补费-儿童（加收）</t>
  </si>
  <si>
    <t>013307000040000</t>
  </si>
  <si>
    <t>无创气管病变切除费</t>
  </si>
  <si>
    <t>通过无创方式对气管病变切除，不含内镜检查费。</t>
  </si>
  <si>
    <t>所定价格涵盖设备准备、体位摆放、观察、肿物切除、撤镜、处理用物等步骤所需的人力资源、设备运转成本消耗与基本物质资源消耗。</t>
  </si>
  <si>
    <t>013307000040001</t>
  </si>
  <si>
    <r>
      <rPr>
        <sz val="12"/>
        <rFont val="宋体"/>
        <charset val="134"/>
      </rPr>
      <t>无创气管病变切除费</t>
    </r>
    <r>
      <rPr>
        <sz val="12"/>
        <rFont val="Times New Roman"/>
        <charset val="0"/>
      </rPr>
      <t>-</t>
    </r>
    <r>
      <rPr>
        <sz val="12"/>
        <rFont val="宋体"/>
        <charset val="134"/>
      </rPr>
      <t>儿童（加收）</t>
    </r>
  </si>
  <si>
    <t>013307000050000</t>
  </si>
  <si>
    <t>无创肺减容费</t>
  </si>
  <si>
    <t>通过无创方式减少肺容积，包括但不限于置入活瓣、热蒸汽消融等方式，不含内镜检查费。</t>
  </si>
  <si>
    <t>所定价格涵盖设备准备、患者准备、镜下置入活瓣或热蒸汽消融、处理用物等步骤所需的人力资源、设备运转成本消耗与基本物质资源消耗。</t>
  </si>
  <si>
    <t>013307000050001</t>
  </si>
  <si>
    <r>
      <rPr>
        <sz val="12"/>
        <rFont val="宋体"/>
        <charset val="134"/>
      </rPr>
      <t>无创肺减容费</t>
    </r>
    <r>
      <rPr>
        <sz val="12"/>
        <rFont val="Times New Roman"/>
        <charset val="0"/>
      </rPr>
      <t>-</t>
    </r>
    <r>
      <rPr>
        <sz val="12"/>
        <rFont val="宋体"/>
        <charset val="134"/>
      </rPr>
      <t>儿童（加收）</t>
    </r>
  </si>
  <si>
    <t>013307000060000</t>
  </si>
  <si>
    <t>无创气管异物取出费</t>
  </si>
  <si>
    <t>通过无创方式取出气管异物，不含内镜检查费。</t>
  </si>
  <si>
    <t>所定价格涵盖设备准备、体位摆放、观察、异物取出、撤镜、处理用物等步骤所需的人力资源、设备运转成本消耗与基本物质资源消耗。</t>
  </si>
  <si>
    <t>013307000060001</t>
  </si>
  <si>
    <r>
      <rPr>
        <sz val="12"/>
        <rFont val="宋体"/>
        <charset val="134"/>
      </rPr>
      <t>无创气管异物取出费</t>
    </r>
    <r>
      <rPr>
        <sz val="12"/>
        <rFont val="Times New Roman"/>
        <charset val="0"/>
      </rPr>
      <t>-</t>
    </r>
    <r>
      <rPr>
        <sz val="12"/>
        <rFont val="宋体"/>
        <charset val="134"/>
      </rPr>
      <t>儿童（加收）</t>
    </r>
  </si>
  <si>
    <t>013307000070000</t>
  </si>
  <si>
    <t>气管成形费</t>
  </si>
  <si>
    <t>通过手术切除部分气管，并行气管重建或修复。</t>
  </si>
  <si>
    <t>所定价格涵盖手术计划、术区准备、消毒、切除、重建、缝合、处理用物等步骤所需的人力资源和基本物质资源消耗。</t>
  </si>
  <si>
    <r>
      <rPr>
        <sz val="12"/>
        <rFont val="宋体"/>
        <charset val="134"/>
      </rPr>
      <t>气管重建术按</t>
    </r>
    <r>
      <rPr>
        <sz val="12"/>
        <rFont val="Times New Roman"/>
        <charset val="0"/>
      </rPr>
      <t>1.3</t>
    </r>
    <r>
      <rPr>
        <sz val="12"/>
        <rFont val="宋体"/>
        <charset val="134"/>
      </rPr>
      <t>次收费。</t>
    </r>
  </si>
  <si>
    <t>013307000070001</t>
  </si>
  <si>
    <r>
      <rPr>
        <sz val="12"/>
        <rFont val="宋体"/>
        <charset val="134"/>
      </rPr>
      <t>气管成形费</t>
    </r>
    <r>
      <rPr>
        <sz val="12"/>
        <rFont val="Times New Roman"/>
        <charset val="0"/>
      </rPr>
      <t>-</t>
    </r>
    <r>
      <rPr>
        <sz val="12"/>
        <rFont val="宋体"/>
        <charset val="134"/>
      </rPr>
      <t>儿童（加收）</t>
    </r>
  </si>
  <si>
    <t>013307000080000</t>
  </si>
  <si>
    <t>气管隆突成形费</t>
  </si>
  <si>
    <t>通过手术切除部分气管隆突，并行气管隆突重建。</t>
  </si>
  <si>
    <r>
      <rPr>
        <sz val="12"/>
        <rFont val="宋体"/>
        <charset val="134"/>
      </rPr>
      <t>气管隆突重建术按</t>
    </r>
    <r>
      <rPr>
        <sz val="12"/>
        <rFont val="Times New Roman"/>
        <charset val="0"/>
      </rPr>
      <t>1.3</t>
    </r>
    <r>
      <rPr>
        <sz val="12"/>
        <rFont val="宋体"/>
        <charset val="134"/>
      </rPr>
      <t>次收费。</t>
    </r>
  </si>
  <si>
    <t>013307000080001</t>
  </si>
  <si>
    <r>
      <rPr>
        <sz val="12"/>
        <rFont val="宋体"/>
        <charset val="134"/>
      </rPr>
      <t>气管隆突成形费</t>
    </r>
    <r>
      <rPr>
        <sz val="12"/>
        <rFont val="Times New Roman"/>
        <charset val="0"/>
      </rPr>
      <t>-</t>
    </r>
    <r>
      <rPr>
        <sz val="12"/>
        <rFont val="宋体"/>
        <charset val="134"/>
      </rPr>
      <t>儿童（加收）</t>
    </r>
  </si>
  <si>
    <t>013307000090000</t>
  </si>
  <si>
    <t>气管食管瘘修补费（常规）</t>
  </si>
  <si>
    <t>通过手术修补气管食管瘘口。</t>
  </si>
  <si>
    <t>所定价格涵盖手术计划、术区准备、消毒、修补、缝合、处理用物等步骤所需的人力资源和基本物质资源消耗。</t>
  </si>
  <si>
    <t>013307000090001</t>
  </si>
  <si>
    <r>
      <rPr>
        <sz val="12"/>
        <rFont val="宋体"/>
        <charset val="134"/>
      </rPr>
      <t>气管食管瘘修补费（常规）</t>
    </r>
    <r>
      <rPr>
        <sz val="12"/>
        <rFont val="Times New Roman"/>
        <charset val="0"/>
      </rPr>
      <t>-</t>
    </r>
    <r>
      <rPr>
        <sz val="12"/>
        <rFont val="宋体"/>
        <charset val="134"/>
      </rPr>
      <t>儿童（加收）</t>
    </r>
  </si>
  <si>
    <t>013307000100000</t>
  </si>
  <si>
    <t>气管食管瘘修补费（复杂）</t>
  </si>
  <si>
    <t>通过手术修补复杂情况的气管食管瘘口。</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</si>
  <si>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指：术中进行大网膜填充、皮瓣填充的情况。</t>
    </r>
  </si>
  <si>
    <t>013307000100001</t>
  </si>
  <si>
    <r>
      <rPr>
        <sz val="12"/>
        <rFont val="宋体"/>
        <charset val="134"/>
      </rPr>
      <t>气管食管瘘修补费（复杂）</t>
    </r>
    <r>
      <rPr>
        <sz val="12"/>
        <rFont val="Times New Roman"/>
        <charset val="0"/>
      </rPr>
      <t>-</t>
    </r>
    <r>
      <rPr>
        <sz val="12"/>
        <rFont val="宋体"/>
        <charset val="134"/>
      </rPr>
      <t>儿童（加收）</t>
    </r>
  </si>
  <si>
    <t>013307000110000</t>
  </si>
  <si>
    <t>气管病变切除费</t>
  </si>
  <si>
    <t>通过手术切除气管病变。</t>
  </si>
  <si>
    <t>013307000110001</t>
  </si>
  <si>
    <r>
      <rPr>
        <sz val="12"/>
        <rFont val="宋体"/>
        <charset val="134"/>
      </rPr>
      <t>气管病变切除费</t>
    </r>
    <r>
      <rPr>
        <sz val="12"/>
        <rFont val="Times New Roman"/>
        <charset val="0"/>
      </rPr>
      <t>-</t>
    </r>
    <r>
      <rPr>
        <sz val="12"/>
        <rFont val="宋体"/>
        <charset val="134"/>
      </rPr>
      <t>儿童（加收）</t>
    </r>
  </si>
  <si>
    <t>013307000120000</t>
  </si>
  <si>
    <t>气管隆突病变切除费</t>
  </si>
  <si>
    <t>通过手术切除气管隆凸病变。</t>
  </si>
  <si>
    <t>013307000120001</t>
  </si>
  <si>
    <r>
      <rPr>
        <sz val="12"/>
        <rFont val="宋体"/>
        <charset val="134"/>
      </rPr>
      <t>气管隆突病变切除费</t>
    </r>
    <r>
      <rPr>
        <sz val="12"/>
        <rFont val="Times New Roman"/>
        <charset val="0"/>
      </rPr>
      <t>-</t>
    </r>
    <r>
      <rPr>
        <sz val="12"/>
        <rFont val="宋体"/>
        <charset val="134"/>
      </rPr>
      <t>儿童（加收）</t>
    </r>
  </si>
  <si>
    <t>013307000130000</t>
  </si>
  <si>
    <t>胸腔探查费</t>
  </si>
  <si>
    <t>通过手术探查胸腔，含止血。</t>
  </si>
  <si>
    <t>所定价格涵盖手术计划、术区准备、消毒、切开、探查、缝合、处理用物，必要时止血等手术步骤的人力资源和基本物质资源消耗。</t>
  </si>
  <si>
    <t>013307000130001</t>
  </si>
  <si>
    <r>
      <rPr>
        <sz val="12"/>
        <rFont val="宋体"/>
        <charset val="134"/>
      </rPr>
      <t>胸腔探查费</t>
    </r>
    <r>
      <rPr>
        <sz val="12"/>
        <rFont val="Times New Roman"/>
        <charset val="0"/>
      </rPr>
      <t>-</t>
    </r>
    <r>
      <rPr>
        <sz val="12"/>
        <rFont val="宋体"/>
        <charset val="134"/>
      </rPr>
      <t>儿童（加收）</t>
    </r>
  </si>
  <si>
    <t>013307000140000</t>
  </si>
  <si>
    <t>胸腔病变切除费</t>
  </si>
  <si>
    <t>通过手术切除胸腔病变。</t>
  </si>
  <si>
    <t>所定价格涵盖手术计划、术区准备、消毒、切除、缝合、处理用物等手术步骤的人力资源和基本物质资源消耗。</t>
  </si>
  <si>
    <r>
      <rPr>
        <sz val="12"/>
        <rFont val="Times New Roman"/>
        <charset val="0"/>
      </rPr>
      <t>1.</t>
    </r>
    <r>
      <rPr>
        <sz val="12"/>
        <rFont val="宋体"/>
        <charset val="134"/>
      </rPr>
      <t>本项目中的</t>
    </r>
    <r>
      <rPr>
        <sz val="12"/>
        <rFont val="Times New Roman"/>
        <charset val="0"/>
      </rPr>
      <t>“</t>
    </r>
    <r>
      <rPr>
        <sz val="12"/>
        <rFont val="宋体"/>
        <charset val="134"/>
      </rPr>
      <t>胸腔</t>
    </r>
    <r>
      <rPr>
        <sz val="12"/>
        <rFont val="Times New Roman"/>
        <charset val="0"/>
      </rPr>
      <t>”</t>
    </r>
    <r>
      <rPr>
        <sz val="12"/>
        <rFont val="宋体"/>
        <charset val="134"/>
      </rPr>
      <t>指：膈肌、胸膜。</t>
    </r>
    <r>
      <rPr>
        <sz val="12"/>
        <rFont val="Times New Roman"/>
        <charset val="0"/>
      </rPr>
      <t xml:space="preserve">
2.</t>
    </r>
    <r>
      <rPr>
        <sz val="12"/>
        <rFont val="宋体"/>
        <charset val="134"/>
      </rPr>
      <t>不与</t>
    </r>
    <r>
      <rPr>
        <sz val="12"/>
        <rFont val="Times New Roman"/>
        <charset val="0"/>
      </rPr>
      <t>“</t>
    </r>
    <r>
      <rPr>
        <sz val="12"/>
        <rFont val="宋体"/>
        <charset val="134"/>
      </rPr>
      <t>膈肌修补费</t>
    </r>
    <r>
      <rPr>
        <sz val="12"/>
        <rFont val="Times New Roman"/>
        <charset val="0"/>
      </rPr>
      <t>”</t>
    </r>
    <r>
      <rPr>
        <sz val="12"/>
        <rFont val="宋体"/>
        <charset val="134"/>
      </rPr>
      <t>同时收取。</t>
    </r>
  </si>
  <si>
    <t>013307000140001</t>
  </si>
  <si>
    <r>
      <rPr>
        <sz val="12"/>
        <rFont val="宋体"/>
        <charset val="134"/>
      </rPr>
      <t>胸腔病变切除费</t>
    </r>
    <r>
      <rPr>
        <sz val="12"/>
        <rFont val="Times New Roman"/>
        <charset val="0"/>
      </rPr>
      <t>-</t>
    </r>
    <r>
      <rPr>
        <sz val="12"/>
        <rFont val="宋体"/>
        <charset val="134"/>
      </rPr>
      <t>儿童（加收）</t>
    </r>
  </si>
  <si>
    <t>013307000150000</t>
  </si>
  <si>
    <t>非解剖性肺部分切除费</t>
  </si>
  <si>
    <t>不按照肺叶或肺段的解剖结构，通过手术切除单侧局部肺组织。</t>
  </si>
  <si>
    <t>013307000150001</t>
  </si>
  <si>
    <r>
      <rPr>
        <sz val="12"/>
        <rFont val="宋体"/>
        <charset val="134"/>
      </rPr>
      <t>非解剖性肺部分切除费</t>
    </r>
    <r>
      <rPr>
        <sz val="12"/>
        <rFont val="Times New Roman"/>
        <charset val="0"/>
      </rPr>
      <t>-</t>
    </r>
    <r>
      <rPr>
        <sz val="12"/>
        <rFont val="宋体"/>
        <charset val="134"/>
      </rPr>
      <t>儿童（加收）</t>
    </r>
  </si>
  <si>
    <t>013307000160000</t>
  </si>
  <si>
    <t>肺叶切除费（常规）</t>
  </si>
  <si>
    <t>通过手术切除单侧肺叶。</t>
  </si>
  <si>
    <t>013307000160001</t>
  </si>
  <si>
    <r>
      <rPr>
        <sz val="12"/>
        <rFont val="宋体"/>
        <charset val="134"/>
      </rPr>
      <t>肺叶切除费（常规）</t>
    </r>
    <r>
      <rPr>
        <sz val="12"/>
        <rFont val="Times New Roman"/>
        <charset val="0"/>
      </rPr>
      <t>-</t>
    </r>
    <r>
      <rPr>
        <sz val="12"/>
        <rFont val="宋体"/>
        <charset val="134"/>
      </rPr>
      <t>儿童（加收）</t>
    </r>
  </si>
  <si>
    <t>013307000170000</t>
  </si>
  <si>
    <t>肺叶切除费（复杂）</t>
  </si>
  <si>
    <t>通过手术切除复杂情况单侧肺叶。</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</si>
  <si>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指：袖状肺叶切除、复合肺叶切除、术中进行血管成形的情况。</t>
    </r>
  </si>
  <si>
    <t>013307000170001</t>
  </si>
  <si>
    <r>
      <rPr>
        <sz val="12"/>
        <rFont val="宋体"/>
        <charset val="134"/>
      </rPr>
      <t>肺叶切除费（复杂）</t>
    </r>
    <r>
      <rPr>
        <sz val="12"/>
        <rFont val="Times New Roman"/>
        <charset val="0"/>
      </rPr>
      <t>-</t>
    </r>
    <r>
      <rPr>
        <sz val="12"/>
        <rFont val="宋体"/>
        <charset val="134"/>
      </rPr>
      <t>儿童（加收）</t>
    </r>
  </si>
  <si>
    <t>013307000180000</t>
  </si>
  <si>
    <t>肺段切除费（常规）</t>
  </si>
  <si>
    <t>通过手术切除单侧肺段。</t>
  </si>
  <si>
    <t>013307000180001</t>
  </si>
  <si>
    <r>
      <rPr>
        <sz val="12"/>
        <rFont val="宋体"/>
        <charset val="134"/>
      </rPr>
      <t>肺段切除费（常规）</t>
    </r>
    <r>
      <rPr>
        <sz val="12"/>
        <rFont val="Times New Roman"/>
        <charset val="0"/>
      </rPr>
      <t>-</t>
    </r>
    <r>
      <rPr>
        <sz val="12"/>
        <rFont val="宋体"/>
        <charset val="134"/>
      </rPr>
      <t>儿童（加收）</t>
    </r>
  </si>
  <si>
    <t>013307000190000</t>
  </si>
  <si>
    <t>肺段切除费（复杂）</t>
  </si>
  <si>
    <t>通过手术切除复杂情况单侧肺段。</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</si>
  <si>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指：上叶前段切除、下叶基底段切除、联合肺段切除、亚段支气管切除的情况。</t>
    </r>
  </si>
  <si>
    <t>013307000190001</t>
  </si>
  <si>
    <r>
      <rPr>
        <sz val="12"/>
        <rFont val="宋体"/>
        <charset val="134"/>
      </rPr>
      <t>肺段切除费（复杂）</t>
    </r>
    <r>
      <rPr>
        <sz val="12"/>
        <rFont val="Times New Roman"/>
        <charset val="0"/>
      </rPr>
      <t>-</t>
    </r>
    <r>
      <rPr>
        <sz val="12"/>
        <rFont val="宋体"/>
        <charset val="134"/>
      </rPr>
      <t>儿童（加收）</t>
    </r>
  </si>
  <si>
    <t>013307000200000</t>
  </si>
  <si>
    <t>全肺切除费（常规）</t>
  </si>
  <si>
    <t>通过手术切除全肺。</t>
  </si>
  <si>
    <t>013307000200001</t>
  </si>
  <si>
    <r>
      <rPr>
        <sz val="12"/>
        <rFont val="宋体"/>
        <charset val="134"/>
      </rPr>
      <t>全肺切除费（常规）</t>
    </r>
    <r>
      <rPr>
        <sz val="12"/>
        <rFont val="Times New Roman"/>
        <charset val="0"/>
      </rPr>
      <t>-</t>
    </r>
    <r>
      <rPr>
        <sz val="12"/>
        <rFont val="宋体"/>
        <charset val="134"/>
      </rPr>
      <t>儿童（加收）</t>
    </r>
  </si>
  <si>
    <t>013307000210000</t>
  </si>
  <si>
    <t>全肺切除费（复杂）</t>
  </si>
  <si>
    <t>通过手术切除复杂情况全肺。</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</si>
  <si>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指：心包内切除、部分心房切除、胸膜外全肺切除的情况。</t>
    </r>
  </si>
  <si>
    <t>013307000210001</t>
  </si>
  <si>
    <r>
      <rPr>
        <sz val="12"/>
        <rFont val="宋体"/>
        <charset val="134"/>
      </rPr>
      <t>全肺切除费（复杂）</t>
    </r>
    <r>
      <rPr>
        <sz val="12"/>
        <rFont val="Times New Roman"/>
        <charset val="0"/>
      </rPr>
      <t>-</t>
    </r>
    <r>
      <rPr>
        <sz val="12"/>
        <rFont val="宋体"/>
        <charset val="134"/>
      </rPr>
      <t>儿童（加收）</t>
    </r>
  </si>
  <si>
    <t>013307000220000</t>
  </si>
  <si>
    <t>肺修补费</t>
  </si>
  <si>
    <t>通过手术修补肺组织缺损。</t>
  </si>
  <si>
    <t>013307000220001</t>
  </si>
  <si>
    <r>
      <rPr>
        <sz val="12"/>
        <rFont val="宋体"/>
        <charset val="134"/>
      </rPr>
      <t>肺修补费</t>
    </r>
    <r>
      <rPr>
        <sz val="12"/>
        <rFont val="Times New Roman"/>
        <charset val="0"/>
      </rPr>
      <t>-</t>
    </r>
    <r>
      <rPr>
        <sz val="12"/>
        <rFont val="宋体"/>
        <charset val="134"/>
      </rPr>
      <t>儿童（加收）</t>
    </r>
  </si>
  <si>
    <t>013307000230000</t>
  </si>
  <si>
    <t>胸腺病变切除费</t>
  </si>
  <si>
    <t>通过手术切除胸腺病变。</t>
  </si>
  <si>
    <t>013307000230001</t>
  </si>
  <si>
    <r>
      <rPr>
        <sz val="12"/>
        <rFont val="宋体"/>
        <charset val="134"/>
      </rPr>
      <t>胸腺病变切除费</t>
    </r>
    <r>
      <rPr>
        <sz val="12"/>
        <rFont val="Times New Roman"/>
        <charset val="0"/>
      </rPr>
      <t>-</t>
    </r>
    <r>
      <rPr>
        <sz val="12"/>
        <rFont val="宋体"/>
        <charset val="134"/>
      </rPr>
      <t>儿童（加收）</t>
    </r>
  </si>
  <si>
    <t>013307000240000</t>
  </si>
  <si>
    <t>胸壁病变切除费</t>
  </si>
  <si>
    <t>通过手术切除胸壁结核、术后瘘、胸壁肿瘤等病变。</t>
  </si>
  <si>
    <t>所定价格涵盖手术计划、术区准备、消毒、切开、切除、缝合、处理用物，必要时修复等步骤所需的人力资源和基本物质资源消耗。</t>
  </si>
  <si>
    <r>
      <rPr>
        <sz val="12"/>
        <rFont val="宋体"/>
        <charset val="134"/>
      </rPr>
      <t>不与</t>
    </r>
    <r>
      <rPr>
        <sz val="12"/>
        <rFont val="Times New Roman"/>
        <charset val="0"/>
      </rPr>
      <t>“</t>
    </r>
    <r>
      <rPr>
        <sz val="12"/>
        <rFont val="宋体"/>
        <charset val="134"/>
      </rPr>
      <t>胸壁缺损修复费</t>
    </r>
    <r>
      <rPr>
        <sz val="12"/>
        <rFont val="Times New Roman"/>
        <charset val="0"/>
      </rPr>
      <t>”</t>
    </r>
    <r>
      <rPr>
        <sz val="12"/>
        <rFont val="宋体"/>
        <charset val="134"/>
      </rPr>
      <t>同时收取。</t>
    </r>
  </si>
  <si>
    <t>013307000240001</t>
  </si>
  <si>
    <r>
      <rPr>
        <sz val="12"/>
        <rFont val="宋体"/>
        <charset val="134"/>
      </rPr>
      <t>胸壁病变切除费</t>
    </r>
    <r>
      <rPr>
        <sz val="12"/>
        <rFont val="Times New Roman"/>
        <charset val="0"/>
      </rPr>
      <t>-</t>
    </r>
    <r>
      <rPr>
        <sz val="12"/>
        <rFont val="宋体"/>
        <charset val="134"/>
      </rPr>
      <t>儿童（加收）</t>
    </r>
  </si>
  <si>
    <t>013307000250000</t>
  </si>
  <si>
    <t>胸壁缺损修复费（常规）</t>
  </si>
  <si>
    <t>通过手术修复胸壁缺损。</t>
  </si>
  <si>
    <t>所定价格涵盖手术计划、术区准备、消毒、切开、修复、缝合、处理用物，必要时固定等步骤所需的人力资源和基本物质资源消耗。</t>
  </si>
  <si>
    <t>013307000250001</t>
  </si>
  <si>
    <r>
      <rPr>
        <sz val="12"/>
        <rFont val="宋体"/>
        <charset val="134"/>
      </rPr>
      <t>胸壁缺损修复费（常规）</t>
    </r>
    <r>
      <rPr>
        <sz val="12"/>
        <rFont val="Times New Roman"/>
        <charset val="0"/>
      </rPr>
      <t>-</t>
    </r>
    <r>
      <rPr>
        <sz val="12"/>
        <rFont val="宋体"/>
        <charset val="134"/>
      </rPr>
      <t>儿童（加收）</t>
    </r>
  </si>
  <si>
    <t>013307000260000</t>
  </si>
  <si>
    <t>胸壁缺损修复费（复杂）</t>
  </si>
  <si>
    <t>通过手术修复复杂胸壁缺损。</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</si>
  <si>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指：胸壁穿透伤修复、术中进行肌皮瓣填充的情况。</t>
    </r>
  </si>
  <si>
    <t>013307000260001</t>
  </si>
  <si>
    <r>
      <rPr>
        <sz val="12"/>
        <rFont val="宋体"/>
        <charset val="134"/>
      </rPr>
      <t>胸壁缺损修复费（复杂）</t>
    </r>
    <r>
      <rPr>
        <sz val="12"/>
        <rFont val="Times New Roman"/>
        <charset val="0"/>
      </rPr>
      <t>-</t>
    </r>
    <r>
      <rPr>
        <sz val="12"/>
        <rFont val="宋体"/>
        <charset val="134"/>
      </rPr>
      <t>儿童（加收）</t>
    </r>
  </si>
  <si>
    <t>013307000270000</t>
  </si>
  <si>
    <t>胸廓成形费（常规）</t>
  </si>
  <si>
    <t>通过手术重建胸廓。</t>
  </si>
  <si>
    <t>所定价格涵盖手术计划、术区准备、消毒、切开、成形、缝合、处理用物等步骤所需的人力资源和基本物质资源消耗。</t>
  </si>
  <si>
    <t>013307000270001</t>
  </si>
  <si>
    <r>
      <rPr>
        <sz val="12"/>
        <rFont val="宋体"/>
        <charset val="134"/>
      </rPr>
      <t>胸廓成形费（常规）</t>
    </r>
    <r>
      <rPr>
        <sz val="12"/>
        <rFont val="Times New Roman"/>
        <charset val="0"/>
      </rPr>
      <t>-</t>
    </r>
    <r>
      <rPr>
        <sz val="12"/>
        <rFont val="宋体"/>
        <charset val="134"/>
      </rPr>
      <t>儿童（加收）</t>
    </r>
  </si>
  <si>
    <t>013307000280000</t>
  </si>
  <si>
    <t>胸廓成形费（复杂）</t>
  </si>
  <si>
    <t>通过手术重建复杂情况胸廓。</t>
  </si>
  <si>
    <r>
      <rPr>
        <sz val="12"/>
        <rFont val="Times New Roman"/>
        <charset val="0"/>
      </rPr>
      <t>1</t>
    </r>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指：先天性或后天性胸廓畸形矫正的情况。</t>
    </r>
    <r>
      <rPr>
        <sz val="12"/>
        <rFont val="Times New Roman"/>
        <charset val="0"/>
      </rPr>
      <t xml:space="preserve">
2</t>
    </r>
    <r>
      <rPr>
        <sz val="12"/>
        <rFont val="宋体"/>
        <charset val="134"/>
      </rPr>
      <t>、不与</t>
    </r>
    <r>
      <rPr>
        <sz val="12"/>
        <rFont val="Times New Roman"/>
        <charset val="0"/>
      </rPr>
      <t>“</t>
    </r>
    <r>
      <rPr>
        <sz val="12"/>
        <rFont val="宋体"/>
        <charset val="134"/>
      </rPr>
      <t>胸壁缺损修复费</t>
    </r>
    <r>
      <rPr>
        <sz val="12"/>
        <rFont val="Times New Roman"/>
        <charset val="0"/>
      </rPr>
      <t>”</t>
    </r>
    <r>
      <rPr>
        <sz val="12"/>
        <rFont val="宋体"/>
        <charset val="134"/>
      </rPr>
      <t>同时收取。</t>
    </r>
  </si>
  <si>
    <t>013307000280001</t>
  </si>
  <si>
    <r>
      <rPr>
        <sz val="12"/>
        <rFont val="宋体"/>
        <charset val="134"/>
      </rPr>
      <t>胸廓成形费（复杂）</t>
    </r>
    <r>
      <rPr>
        <sz val="12"/>
        <rFont val="Times New Roman"/>
        <charset val="0"/>
      </rPr>
      <t>-</t>
    </r>
    <r>
      <rPr>
        <sz val="12"/>
        <rFont val="宋体"/>
        <charset val="134"/>
      </rPr>
      <t>儿童（加收）</t>
    </r>
  </si>
  <si>
    <t>013307000290000</t>
  </si>
  <si>
    <t>脓胸廓清费（常规）</t>
  </si>
  <si>
    <t>通过手术清除脓胸并引流。</t>
  </si>
  <si>
    <t>所定价格涵盖手术计划、术区准备、消毒、切开、清除引流、缝合、处理用物等步骤所需的人力资源和基本物质资源消耗。</t>
  </si>
  <si>
    <t>013307000290001</t>
  </si>
  <si>
    <r>
      <rPr>
        <sz val="12"/>
        <rFont val="宋体"/>
        <charset val="134"/>
      </rPr>
      <t>脓胸廓清费（常规）</t>
    </r>
    <r>
      <rPr>
        <sz val="12"/>
        <rFont val="Times New Roman"/>
        <charset val="0"/>
      </rPr>
      <t>-</t>
    </r>
    <r>
      <rPr>
        <sz val="12"/>
        <rFont val="宋体"/>
        <charset val="134"/>
      </rPr>
      <t>儿童（加收）</t>
    </r>
  </si>
  <si>
    <t>013307000300000</t>
  </si>
  <si>
    <t>脓胸廓清费（复杂）</t>
  </si>
  <si>
    <t>通过手术清除复杂情况脓胸并引流。</t>
  </si>
  <si>
    <t>所定价格涵盖手术计划、术区准备、消毒、切开、脓胸清除引流、缝合、处理用物等步骤所需的人力资源和基本物质资源消耗。</t>
  </si>
  <si>
    <t>013307000300001</t>
  </si>
  <si>
    <r>
      <rPr>
        <sz val="12"/>
        <rFont val="宋体"/>
        <charset val="134"/>
      </rPr>
      <t>脓胸廓清费（复杂）</t>
    </r>
    <r>
      <rPr>
        <sz val="12"/>
        <rFont val="Times New Roman"/>
        <charset val="0"/>
      </rPr>
      <t>-</t>
    </r>
    <r>
      <rPr>
        <sz val="12"/>
        <rFont val="宋体"/>
        <charset val="134"/>
      </rPr>
      <t>儿童（加收）</t>
    </r>
  </si>
  <si>
    <t>013307000310000</t>
  </si>
  <si>
    <t>胸膜剥脱费</t>
  </si>
  <si>
    <t>通过手术剥脱胸膜。</t>
  </si>
  <si>
    <t>所定价格涵盖手术计划、术区准备、消毒、切开、剥脱、缝合、处理用物等步骤所需的人力资源和基本物质资源消耗。</t>
  </si>
  <si>
    <t>013307000310001</t>
  </si>
  <si>
    <r>
      <rPr>
        <sz val="12"/>
        <rFont val="宋体"/>
        <charset val="134"/>
      </rPr>
      <t>胸膜剥脱费</t>
    </r>
    <r>
      <rPr>
        <sz val="12"/>
        <rFont val="Times New Roman"/>
        <charset val="0"/>
      </rPr>
      <t>-</t>
    </r>
    <r>
      <rPr>
        <sz val="12"/>
        <rFont val="宋体"/>
        <charset val="134"/>
      </rPr>
      <t>儿童（加收）</t>
    </r>
  </si>
  <si>
    <t>013307000320000</t>
  </si>
  <si>
    <t>胸膜固定费</t>
  </si>
  <si>
    <t>通过手术固定脏层胸膜与壁层胸膜。</t>
  </si>
  <si>
    <t>所定价格涵盖手术计划、术区准备、消毒、切开，固定、缝合、处理用物等步骤所需的人力资源和基本物质资源消耗。</t>
  </si>
  <si>
    <t>013307000320001</t>
  </si>
  <si>
    <r>
      <rPr>
        <sz val="12"/>
        <rFont val="宋体"/>
        <charset val="134"/>
      </rPr>
      <t>胸膜固定费</t>
    </r>
    <r>
      <rPr>
        <sz val="12"/>
        <rFont val="Times New Roman"/>
        <charset val="0"/>
      </rPr>
      <t>-</t>
    </r>
    <r>
      <rPr>
        <sz val="12"/>
        <rFont val="宋体"/>
        <charset val="134"/>
      </rPr>
      <t>儿童（加收）</t>
    </r>
  </si>
  <si>
    <t>013307000330000</t>
  </si>
  <si>
    <t>胸内异物清除费</t>
  </si>
  <si>
    <t>通过手术清除胸内异物。</t>
  </si>
  <si>
    <t>所定价格涵盖手术计划、术区准备、消毒、切开、异物清除、缝合、处理用物等步骤所需的人力资源和基本物质资源消耗。</t>
  </si>
  <si>
    <t>013307000330001</t>
  </si>
  <si>
    <r>
      <rPr>
        <sz val="12"/>
        <rFont val="宋体"/>
        <charset val="134"/>
      </rPr>
      <t>胸内异物清除费</t>
    </r>
    <r>
      <rPr>
        <sz val="12"/>
        <rFont val="Times New Roman"/>
        <charset val="0"/>
      </rPr>
      <t>-</t>
    </r>
    <r>
      <rPr>
        <sz val="12"/>
        <rFont val="宋体"/>
        <charset val="134"/>
      </rPr>
      <t>儿童（加收）</t>
    </r>
  </si>
  <si>
    <t>013307000340000</t>
  </si>
  <si>
    <t>纵隔病变切除费（常规）</t>
  </si>
  <si>
    <t>通过手术切除纵隔病变。</t>
  </si>
  <si>
    <t>013307000340001</t>
  </si>
  <si>
    <r>
      <rPr>
        <sz val="12"/>
        <rFont val="宋体"/>
        <charset val="134"/>
      </rPr>
      <t>纵隔病变切除费（常规）</t>
    </r>
    <r>
      <rPr>
        <sz val="12"/>
        <rFont val="Times New Roman"/>
        <charset val="0"/>
      </rPr>
      <t>-</t>
    </r>
    <r>
      <rPr>
        <sz val="12"/>
        <rFont val="宋体"/>
        <charset val="134"/>
      </rPr>
      <t>儿童（加收）</t>
    </r>
  </si>
  <si>
    <t>013307000350000</t>
  </si>
  <si>
    <t>纵隔病变切除费（复杂）</t>
  </si>
  <si>
    <t>通过手术切除复杂情况纵隔病变。</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</si>
  <si>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指：含颈部入路手术、术中进行血管成形的情况。</t>
    </r>
  </si>
  <si>
    <t>013307000350001</t>
  </si>
  <si>
    <r>
      <rPr>
        <sz val="12"/>
        <rFont val="宋体"/>
        <charset val="134"/>
      </rPr>
      <t>纵隔病变切除费（复杂）</t>
    </r>
    <r>
      <rPr>
        <sz val="12"/>
        <rFont val="Times New Roman"/>
        <charset val="0"/>
      </rPr>
      <t>-</t>
    </r>
    <r>
      <rPr>
        <sz val="12"/>
        <rFont val="宋体"/>
        <charset val="134"/>
      </rPr>
      <t>儿童（加收）</t>
    </r>
  </si>
  <si>
    <t>013307000360000</t>
  </si>
  <si>
    <t>纵隔气肿切开减压费</t>
  </si>
  <si>
    <t>通过手术切开纵隔气肿进行减压。</t>
  </si>
  <si>
    <t>所定价格涵盖手术计划、术区准备、消毒、切开、缝合、处理用物等步骤所需的人力资源和基本物质资源消耗。</t>
  </si>
  <si>
    <t>013307000360001</t>
  </si>
  <si>
    <r>
      <rPr>
        <sz val="12"/>
        <rFont val="宋体"/>
        <charset val="134"/>
      </rPr>
      <t>纵隔气肿切开减压费</t>
    </r>
    <r>
      <rPr>
        <sz val="12"/>
        <rFont val="Times New Roman"/>
        <charset val="0"/>
      </rPr>
      <t>-</t>
    </r>
    <r>
      <rPr>
        <sz val="12"/>
        <rFont val="宋体"/>
        <charset val="134"/>
      </rPr>
      <t>儿童（加收）</t>
    </r>
  </si>
  <si>
    <t>013307000370000</t>
  </si>
  <si>
    <t>纵隔感染清创引流费</t>
  </si>
  <si>
    <t>通过手术清除纵隔内感染或坏死组织并进行引流。</t>
  </si>
  <si>
    <r>
      <rPr>
        <sz val="12"/>
        <rFont val="宋体"/>
        <charset val="134"/>
      </rPr>
      <t>不与</t>
    </r>
    <r>
      <rPr>
        <sz val="12"/>
        <rFont val="Times New Roman"/>
        <charset val="0"/>
      </rPr>
      <t>“</t>
    </r>
    <r>
      <rPr>
        <sz val="12"/>
        <rFont val="宋体"/>
        <charset val="134"/>
      </rPr>
      <t>胸腔粘连松解费</t>
    </r>
    <r>
      <rPr>
        <sz val="12"/>
        <rFont val="Times New Roman"/>
        <charset val="0"/>
      </rPr>
      <t>”</t>
    </r>
    <r>
      <rPr>
        <sz val="12"/>
        <rFont val="宋体"/>
        <charset val="134"/>
      </rPr>
      <t>同时收取。</t>
    </r>
  </si>
  <si>
    <t>013307000370001</t>
  </si>
  <si>
    <r>
      <rPr>
        <sz val="12"/>
        <rFont val="宋体"/>
        <charset val="134"/>
      </rPr>
      <t>纵隔感染清创引流费</t>
    </r>
    <r>
      <rPr>
        <sz val="12"/>
        <rFont val="Times New Roman"/>
        <charset val="0"/>
      </rPr>
      <t>-</t>
    </r>
    <r>
      <rPr>
        <sz val="12"/>
        <rFont val="宋体"/>
        <charset val="134"/>
      </rPr>
      <t>儿童（加收）</t>
    </r>
  </si>
  <si>
    <t>013307000380000</t>
  </si>
  <si>
    <t>膈肌修补费</t>
  </si>
  <si>
    <t>通过手术修补膈肌。</t>
  </si>
  <si>
    <r>
      <rPr>
        <sz val="12"/>
        <rFont val="宋体"/>
        <charset val="134"/>
      </rPr>
      <t>不与</t>
    </r>
    <r>
      <rPr>
        <sz val="12"/>
        <rFont val="Times New Roman"/>
        <charset val="0"/>
      </rPr>
      <t>“</t>
    </r>
    <r>
      <rPr>
        <sz val="12"/>
        <rFont val="宋体"/>
        <charset val="134"/>
      </rPr>
      <t>胸腔病变切除费</t>
    </r>
    <r>
      <rPr>
        <sz val="12"/>
        <rFont val="Times New Roman"/>
        <charset val="0"/>
      </rPr>
      <t>”</t>
    </r>
    <r>
      <rPr>
        <sz val="12"/>
        <rFont val="宋体"/>
        <charset val="134"/>
      </rPr>
      <t>同时收取。</t>
    </r>
  </si>
  <si>
    <t>013307000380001</t>
  </si>
  <si>
    <r>
      <rPr>
        <sz val="12"/>
        <rFont val="宋体"/>
        <charset val="134"/>
      </rPr>
      <t>膈肌修补费</t>
    </r>
    <r>
      <rPr>
        <sz val="12"/>
        <rFont val="Times New Roman"/>
        <charset val="0"/>
      </rPr>
      <t>-</t>
    </r>
    <r>
      <rPr>
        <sz val="12"/>
        <rFont val="宋体"/>
        <charset val="134"/>
      </rPr>
      <t>儿童（加收）</t>
    </r>
  </si>
  <si>
    <t>013307000390000</t>
  </si>
  <si>
    <t>膈肌折叠费</t>
  </si>
  <si>
    <t>通过手术折叠膈肌。</t>
  </si>
  <si>
    <t>所定价格涵盖手术计划、术区准备、消毒、切开、膈肌折叠、缝合、处理用物等步骤所需的人力资源和基本物质资源消耗。</t>
  </si>
  <si>
    <t>013307000390001</t>
  </si>
  <si>
    <r>
      <rPr>
        <sz val="12"/>
        <rFont val="宋体"/>
        <charset val="134"/>
      </rPr>
      <t>膈肌折叠费</t>
    </r>
    <r>
      <rPr>
        <sz val="12"/>
        <rFont val="Times New Roman"/>
        <charset val="0"/>
      </rPr>
      <t>-</t>
    </r>
    <r>
      <rPr>
        <sz val="12"/>
        <rFont val="宋体"/>
        <charset val="134"/>
      </rPr>
      <t>儿童（加收）</t>
    </r>
  </si>
  <si>
    <t>013307000400000</t>
  </si>
  <si>
    <t>气管异物取出费</t>
  </si>
  <si>
    <t>通过手术取出气管异物。</t>
  </si>
  <si>
    <t>所定价格涵盖手术计划、术区准备、消毒、切开、异物取出、缝合、处理用物等步骤所需的人力资源和基本物质资源消耗。</t>
  </si>
  <si>
    <t>013307000400001</t>
  </si>
  <si>
    <r>
      <rPr>
        <sz val="12"/>
        <rFont val="宋体"/>
        <charset val="134"/>
      </rPr>
      <t>气管异物取出费</t>
    </r>
    <r>
      <rPr>
        <sz val="12"/>
        <rFont val="Times New Roman"/>
        <charset val="0"/>
      </rPr>
      <t>-</t>
    </r>
    <r>
      <rPr>
        <sz val="12"/>
        <rFont val="宋体"/>
        <charset val="134"/>
      </rPr>
      <t>儿童（加收）</t>
    </r>
  </si>
  <si>
    <t>013307000410000</t>
  </si>
  <si>
    <t>肺空洞药物填充费</t>
  </si>
  <si>
    <t>通过手术对肺空洞填充药物。</t>
  </si>
  <si>
    <t>所定价格涵盖手术计划、术区准备、消毒、切开、药物填充、缝合、处理用物等步骤所需的人力资源和基本物质资源消耗。</t>
  </si>
  <si>
    <t>013307000410001</t>
  </si>
  <si>
    <r>
      <rPr>
        <sz val="12"/>
        <rFont val="宋体"/>
        <charset val="134"/>
      </rPr>
      <t>肺空洞药物填充费</t>
    </r>
    <r>
      <rPr>
        <sz val="12"/>
        <rFont val="Times New Roman"/>
        <charset val="0"/>
      </rPr>
      <t>-</t>
    </r>
    <r>
      <rPr>
        <sz val="12"/>
        <rFont val="宋体"/>
        <charset val="134"/>
      </rPr>
      <t>儿童（加收）</t>
    </r>
  </si>
  <si>
    <t>013307000420000</t>
  </si>
  <si>
    <t>胸腔淋巴清扫费</t>
  </si>
  <si>
    <t>通过手术清扫胸腔淋巴结。</t>
  </si>
  <si>
    <r>
      <rPr>
        <sz val="12"/>
        <rFont val="宋体"/>
        <charset val="134"/>
      </rPr>
      <t>本项目中的</t>
    </r>
    <r>
      <rPr>
        <sz val="12"/>
        <rFont val="Times New Roman"/>
        <charset val="0"/>
      </rPr>
      <t>“</t>
    </r>
    <r>
      <rPr>
        <sz val="12"/>
        <rFont val="宋体"/>
        <charset val="134"/>
      </rPr>
      <t>胸腔淋巴结</t>
    </r>
    <r>
      <rPr>
        <sz val="12"/>
        <rFont val="Times New Roman"/>
        <charset val="0"/>
      </rPr>
      <t>”</t>
    </r>
    <r>
      <rPr>
        <sz val="12"/>
        <rFont val="宋体"/>
        <charset val="134"/>
      </rPr>
      <t>指：纵隔、肺门、肺内淋巴结。</t>
    </r>
  </si>
  <si>
    <t>013307000420001</t>
  </si>
  <si>
    <r>
      <rPr>
        <sz val="12"/>
        <rFont val="宋体"/>
        <charset val="134"/>
      </rPr>
      <t>胸腔淋巴清扫费</t>
    </r>
    <r>
      <rPr>
        <sz val="12"/>
        <rFont val="Times New Roman"/>
        <charset val="0"/>
      </rPr>
      <t>-</t>
    </r>
    <r>
      <rPr>
        <sz val="12"/>
        <rFont val="宋体"/>
        <charset val="134"/>
      </rPr>
      <t>儿童（加收）</t>
    </r>
  </si>
  <si>
    <t>013307000420100</t>
  </si>
  <si>
    <r>
      <rPr>
        <sz val="12"/>
        <rFont val="宋体"/>
        <charset val="134"/>
      </rPr>
      <t>胸腔淋巴清扫费</t>
    </r>
    <r>
      <rPr>
        <sz val="12"/>
        <rFont val="Times New Roman"/>
        <charset val="0"/>
      </rPr>
      <t>-</t>
    </r>
    <r>
      <rPr>
        <sz val="12"/>
        <rFont val="宋体"/>
        <charset val="134"/>
      </rPr>
      <t>胸腔淋巴结采样（扩展）</t>
    </r>
  </si>
  <si>
    <t>013307000430000</t>
  </si>
  <si>
    <t>胸腔粘连松解费</t>
  </si>
  <si>
    <t>通过手术分离胸腔粘连组织。</t>
  </si>
  <si>
    <t>所定价格涵盖手术计划、术区准备、消毒、探查、分离松解、缝合、处理用物等步骤所需的人力资源和基本物质资源消耗。</t>
  </si>
  <si>
    <t>不与同部位手术同时收费。</t>
  </si>
  <si>
    <t>013307000430001</t>
  </si>
  <si>
    <r>
      <rPr>
        <sz val="12"/>
        <rFont val="宋体"/>
        <charset val="134"/>
      </rPr>
      <t>胸腔粘连松解费</t>
    </r>
    <r>
      <rPr>
        <sz val="12"/>
        <rFont val="Times New Roman"/>
        <charset val="0"/>
      </rPr>
      <t>-</t>
    </r>
    <r>
      <rPr>
        <sz val="12"/>
        <rFont val="宋体"/>
        <charset val="134"/>
      </rPr>
      <t>儿童（加收）</t>
    </r>
  </si>
  <si>
    <t>013307000440000</t>
  </si>
  <si>
    <t>胸交感神经链切除费</t>
  </si>
  <si>
    <t>通过手术切断胸交感神经链。</t>
  </si>
  <si>
    <t>013307000440001</t>
  </si>
  <si>
    <r>
      <rPr>
        <sz val="12"/>
        <rFont val="宋体"/>
        <charset val="134"/>
      </rPr>
      <t>胸交感神经链切除费</t>
    </r>
    <r>
      <rPr>
        <sz val="12"/>
        <rFont val="Times New Roman"/>
        <charset val="0"/>
      </rPr>
      <t>-</t>
    </r>
    <r>
      <rPr>
        <sz val="12"/>
        <rFont val="宋体"/>
        <charset val="134"/>
      </rPr>
      <t>儿童（加收）</t>
    </r>
  </si>
  <si>
    <t>013105020010000</t>
  </si>
  <si>
    <t>乳牙期错合矫治费（常规）</t>
  </si>
  <si>
    <t>通过矫治器安装调整进行乳牙错合畸形的早期矫治。</t>
  </si>
  <si>
    <t>所定价格涵盖准备、方案设计、矫治器安装、调整评估、加力、拆除、处理用物等步骤所需的人力资源和基本物质资源消耗。</t>
  </si>
  <si>
    <t>疗程</t>
  </si>
  <si>
    <r>
      <rPr>
        <sz val="12"/>
        <rFont val="Times New Roman"/>
        <charset val="0"/>
      </rPr>
      <t>“</t>
    </r>
    <r>
      <rPr>
        <sz val="12"/>
        <rFont val="宋体"/>
        <charset val="134"/>
      </rPr>
      <t>疗程</t>
    </r>
    <r>
      <rPr>
        <sz val="12"/>
        <rFont val="Times New Roman"/>
        <charset val="0"/>
      </rPr>
      <t>”</t>
    </r>
    <r>
      <rPr>
        <sz val="12"/>
        <rFont val="宋体"/>
        <charset val="134"/>
      </rPr>
      <t>指从错合矫治治疗开始到结束。</t>
    </r>
  </si>
  <si>
    <t>口腔类</t>
  </si>
  <si>
    <t>013105020020000</t>
  </si>
  <si>
    <t>乳牙期错合矫治费（复杂）</t>
  </si>
  <si>
    <t>通过矫治器安装调整进行疑难复杂情况的乳牙错合畸形的早期矫治。</t>
  </si>
  <si>
    <r>
      <rPr>
        <sz val="12"/>
        <rFont val="Times New Roman"/>
        <charset val="0"/>
      </rPr>
      <t>1.</t>
    </r>
    <r>
      <rPr>
        <sz val="12"/>
        <rFont val="宋体"/>
        <charset val="134"/>
      </rPr>
      <t>复杂指：骨性</t>
    </r>
    <r>
      <rPr>
        <sz val="12"/>
        <rFont val="宋体"/>
        <charset val="0"/>
      </rPr>
      <t>Ⅲ</t>
    </r>
    <r>
      <rPr>
        <sz val="12"/>
        <rFont val="宋体"/>
        <charset val="134"/>
      </rPr>
      <t>类、上颌或上牙弓狭窄、伴颅颌面先天畸形、后牙反合或锁合的情况。</t>
    </r>
    <r>
      <rPr>
        <sz val="12"/>
        <rFont val="Times New Roman"/>
        <charset val="0"/>
      </rPr>
      <t xml:space="preserve">
2.“</t>
    </r>
    <r>
      <rPr>
        <sz val="12"/>
        <rFont val="宋体"/>
        <charset val="134"/>
      </rPr>
      <t>疗程</t>
    </r>
    <r>
      <rPr>
        <sz val="12"/>
        <rFont val="Times New Roman"/>
        <charset val="0"/>
      </rPr>
      <t>”</t>
    </r>
    <r>
      <rPr>
        <sz val="12"/>
        <rFont val="宋体"/>
        <charset val="134"/>
      </rPr>
      <t>指从错合矫治治疗开始到结束。</t>
    </r>
  </si>
  <si>
    <t>013105020030000</t>
  </si>
  <si>
    <r>
      <rPr>
        <sz val="12"/>
        <rFont val="宋体"/>
        <charset val="134"/>
      </rPr>
      <t>替牙期</t>
    </r>
    <r>
      <rPr>
        <sz val="12"/>
        <rFont val="宋体"/>
        <charset val="0"/>
      </rPr>
      <t>Ⅰ</t>
    </r>
    <r>
      <rPr>
        <sz val="12"/>
        <rFont val="宋体"/>
        <charset val="134"/>
      </rPr>
      <t>类错合矫治费（常规）</t>
    </r>
  </si>
  <si>
    <r>
      <rPr>
        <sz val="12"/>
        <rFont val="宋体"/>
        <charset val="134"/>
      </rPr>
      <t>通过矫治器安装调整进行替牙期</t>
    </r>
    <r>
      <rPr>
        <sz val="12"/>
        <rFont val="宋体"/>
        <charset val="0"/>
      </rPr>
      <t>Ⅰ</t>
    </r>
    <r>
      <rPr>
        <sz val="12"/>
        <rFont val="宋体"/>
        <charset val="134"/>
      </rPr>
      <t>类错合畸形的早期矫治。</t>
    </r>
  </si>
  <si>
    <t>013105020040000</t>
  </si>
  <si>
    <r>
      <rPr>
        <sz val="12"/>
        <rFont val="宋体"/>
        <charset val="134"/>
      </rPr>
      <t>替牙期</t>
    </r>
    <r>
      <rPr>
        <sz val="12"/>
        <rFont val="宋体"/>
        <charset val="0"/>
      </rPr>
      <t>Ⅰ</t>
    </r>
    <r>
      <rPr>
        <sz val="12"/>
        <rFont val="宋体"/>
        <charset val="134"/>
      </rPr>
      <t>类错合矫治费（复杂）</t>
    </r>
  </si>
  <si>
    <r>
      <rPr>
        <sz val="12"/>
        <rFont val="宋体"/>
        <charset val="134"/>
      </rPr>
      <t>通过矫治器安装调整进行疑难复杂情况的替牙期</t>
    </r>
    <r>
      <rPr>
        <sz val="12"/>
        <rFont val="宋体"/>
        <charset val="0"/>
      </rPr>
      <t>Ⅰ</t>
    </r>
    <r>
      <rPr>
        <sz val="12"/>
        <rFont val="宋体"/>
        <charset val="134"/>
      </rPr>
      <t>类错合畸形的早期矫治。</t>
    </r>
  </si>
  <si>
    <r>
      <rPr>
        <sz val="12"/>
        <rFont val="Times New Roman"/>
        <charset val="0"/>
      </rPr>
      <t>1.</t>
    </r>
    <r>
      <rPr>
        <sz val="12"/>
        <rFont val="宋体"/>
        <charset val="134"/>
      </rPr>
      <t>复杂指：开合、后牙反合、</t>
    </r>
    <r>
      <rPr>
        <sz val="12"/>
        <rFont val="Times New Roman"/>
        <charset val="0"/>
      </rPr>
      <t>III</t>
    </r>
    <r>
      <rPr>
        <sz val="12"/>
        <rFont val="宋体"/>
        <charset val="134"/>
      </rPr>
      <t>度深覆合、后牙锁合、上颌前突（</t>
    </r>
    <r>
      <rPr>
        <sz val="12"/>
        <rFont val="Times New Roman"/>
        <charset val="0"/>
      </rPr>
      <t>ANB≥7</t>
    </r>
    <r>
      <rPr>
        <sz val="12"/>
        <rFont val="宋体"/>
        <charset val="134"/>
      </rPr>
      <t>度）或下颌前突（</t>
    </r>
    <r>
      <rPr>
        <sz val="12"/>
        <rFont val="Times New Roman"/>
        <charset val="0"/>
      </rPr>
      <t>ANB≤0</t>
    </r>
    <r>
      <rPr>
        <sz val="12"/>
        <rFont val="宋体"/>
        <charset val="134"/>
      </rPr>
      <t>度）、伴颅颌面畸形、伴颞下颌关节病、阻生牙的情况。</t>
    </r>
    <r>
      <rPr>
        <sz val="12"/>
        <rFont val="Times New Roman"/>
        <charset val="0"/>
      </rPr>
      <t xml:space="preserve">
2.“</t>
    </r>
    <r>
      <rPr>
        <sz val="12"/>
        <rFont val="宋体"/>
        <charset val="134"/>
      </rPr>
      <t>疗程</t>
    </r>
    <r>
      <rPr>
        <sz val="12"/>
        <rFont val="Times New Roman"/>
        <charset val="0"/>
      </rPr>
      <t>”</t>
    </r>
    <r>
      <rPr>
        <sz val="12"/>
        <rFont val="宋体"/>
        <charset val="134"/>
      </rPr>
      <t>指从错合矫治治疗开始到结束。</t>
    </r>
  </si>
  <si>
    <t>013105020050000</t>
  </si>
  <si>
    <r>
      <rPr>
        <sz val="12"/>
        <rFont val="宋体"/>
        <charset val="134"/>
      </rPr>
      <t>替牙期</t>
    </r>
    <r>
      <rPr>
        <sz val="12"/>
        <rFont val="宋体"/>
        <charset val="0"/>
      </rPr>
      <t>Ⅱ</t>
    </r>
    <r>
      <rPr>
        <sz val="12"/>
        <rFont val="宋体"/>
        <charset val="134"/>
      </rPr>
      <t>类错合矫治费（常规）</t>
    </r>
  </si>
  <si>
    <r>
      <rPr>
        <sz val="12"/>
        <rFont val="宋体"/>
        <charset val="134"/>
      </rPr>
      <t>通过矫治器安装调整进行替牙期</t>
    </r>
    <r>
      <rPr>
        <sz val="12"/>
        <rFont val="宋体"/>
        <charset val="0"/>
      </rPr>
      <t>Ⅱ</t>
    </r>
    <r>
      <rPr>
        <sz val="12"/>
        <rFont val="宋体"/>
        <charset val="134"/>
      </rPr>
      <t>类错合畸形的早期矫治。</t>
    </r>
  </si>
  <si>
    <t>013105020060000</t>
  </si>
  <si>
    <r>
      <rPr>
        <sz val="12"/>
        <rFont val="宋体"/>
        <charset val="134"/>
      </rPr>
      <t>替牙期</t>
    </r>
    <r>
      <rPr>
        <sz val="12"/>
        <rFont val="宋体"/>
        <charset val="0"/>
      </rPr>
      <t>Ⅱ</t>
    </r>
    <r>
      <rPr>
        <sz val="12"/>
        <rFont val="宋体"/>
        <charset val="134"/>
      </rPr>
      <t>类错合矫治费（复杂）</t>
    </r>
  </si>
  <si>
    <r>
      <rPr>
        <sz val="12"/>
        <rFont val="宋体"/>
        <charset val="134"/>
      </rPr>
      <t>通过矫治器安装调整进行疑难复杂情况的替牙期</t>
    </r>
    <r>
      <rPr>
        <sz val="12"/>
        <rFont val="宋体"/>
        <charset val="0"/>
      </rPr>
      <t>Ⅱ</t>
    </r>
    <r>
      <rPr>
        <sz val="12"/>
        <rFont val="宋体"/>
        <charset val="134"/>
      </rPr>
      <t>类错合畸形的早期矫治。</t>
    </r>
  </si>
  <si>
    <r>
      <rPr>
        <sz val="12"/>
        <rFont val="Times New Roman"/>
        <charset val="0"/>
      </rPr>
      <t>1.</t>
    </r>
    <r>
      <rPr>
        <sz val="12"/>
        <rFont val="宋体"/>
        <charset val="134"/>
      </rPr>
      <t>复杂指：开合、后牙反合、</t>
    </r>
    <r>
      <rPr>
        <sz val="12"/>
        <rFont val="Times New Roman"/>
        <charset val="0"/>
      </rPr>
      <t>III</t>
    </r>
    <r>
      <rPr>
        <sz val="12"/>
        <rFont val="宋体"/>
        <charset val="134"/>
      </rPr>
      <t>度深覆合、后牙锁合、严重上颌前突（</t>
    </r>
    <r>
      <rPr>
        <sz val="12"/>
        <rFont val="Times New Roman"/>
        <charset val="0"/>
      </rPr>
      <t>ANB≥7</t>
    </r>
    <r>
      <rPr>
        <sz val="12"/>
        <rFont val="宋体"/>
        <charset val="134"/>
      </rPr>
      <t>度）、伴颅颌面畸形、伴颞下颌关节病、阻生牙的情况。</t>
    </r>
    <r>
      <rPr>
        <sz val="12"/>
        <rFont val="Times New Roman"/>
        <charset val="0"/>
      </rPr>
      <t xml:space="preserve">
2.“</t>
    </r>
    <r>
      <rPr>
        <sz val="12"/>
        <rFont val="宋体"/>
        <charset val="134"/>
      </rPr>
      <t>疗程</t>
    </r>
    <r>
      <rPr>
        <sz val="12"/>
        <rFont val="Times New Roman"/>
        <charset val="0"/>
      </rPr>
      <t>”</t>
    </r>
    <r>
      <rPr>
        <sz val="12"/>
        <rFont val="宋体"/>
        <charset val="134"/>
      </rPr>
      <t>指从错合矫治治疗开始到结束。</t>
    </r>
  </si>
  <si>
    <t>013105020070000</t>
  </si>
  <si>
    <r>
      <rPr>
        <sz val="12"/>
        <rFont val="宋体"/>
        <charset val="134"/>
      </rPr>
      <t>替牙期</t>
    </r>
    <r>
      <rPr>
        <sz val="12"/>
        <rFont val="宋体"/>
        <charset val="0"/>
      </rPr>
      <t>Ⅲ</t>
    </r>
    <r>
      <rPr>
        <sz val="12"/>
        <rFont val="宋体"/>
        <charset val="134"/>
      </rPr>
      <t>类错合矫治费（常规）</t>
    </r>
  </si>
  <si>
    <r>
      <rPr>
        <sz val="12"/>
        <rFont val="宋体"/>
        <charset val="134"/>
      </rPr>
      <t>通过矫治器安装调整进行替牙期</t>
    </r>
    <r>
      <rPr>
        <sz val="12"/>
        <rFont val="宋体"/>
        <charset val="0"/>
      </rPr>
      <t>Ⅲ</t>
    </r>
    <r>
      <rPr>
        <sz val="12"/>
        <rFont val="宋体"/>
        <charset val="134"/>
      </rPr>
      <t>类错合畸形的早期矫治。</t>
    </r>
  </si>
  <si>
    <t>013105020080000</t>
  </si>
  <si>
    <r>
      <rPr>
        <sz val="12"/>
        <rFont val="宋体"/>
        <charset val="134"/>
      </rPr>
      <t>替牙期</t>
    </r>
    <r>
      <rPr>
        <sz val="12"/>
        <rFont val="宋体"/>
        <charset val="0"/>
      </rPr>
      <t>Ⅲ</t>
    </r>
    <r>
      <rPr>
        <sz val="12"/>
        <rFont val="宋体"/>
        <charset val="134"/>
      </rPr>
      <t>类错合矫治费（复杂）</t>
    </r>
  </si>
  <si>
    <r>
      <rPr>
        <sz val="12"/>
        <rFont val="宋体"/>
        <charset val="134"/>
      </rPr>
      <t>通过矫治器安装调整进行疑难复杂情况的替牙期</t>
    </r>
    <r>
      <rPr>
        <sz val="12"/>
        <rFont val="宋体"/>
        <charset val="0"/>
      </rPr>
      <t>Ⅲ</t>
    </r>
    <r>
      <rPr>
        <sz val="12"/>
        <rFont val="宋体"/>
        <charset val="134"/>
      </rPr>
      <t>类错合畸形的早期矫治。</t>
    </r>
  </si>
  <si>
    <r>
      <rPr>
        <sz val="12"/>
        <rFont val="Times New Roman"/>
        <charset val="0"/>
      </rPr>
      <t>1.</t>
    </r>
    <r>
      <rPr>
        <sz val="12"/>
        <rFont val="宋体"/>
        <charset val="134"/>
      </rPr>
      <t>复杂指：开合、</t>
    </r>
    <r>
      <rPr>
        <sz val="12"/>
        <rFont val="Times New Roman"/>
        <charset val="0"/>
      </rPr>
      <t>III</t>
    </r>
    <r>
      <rPr>
        <sz val="12"/>
        <rFont val="宋体"/>
        <charset val="134"/>
      </rPr>
      <t>度深覆合、后牙反合、后牙锁合、下颌前突（</t>
    </r>
    <r>
      <rPr>
        <sz val="12"/>
        <rFont val="Times New Roman"/>
        <charset val="0"/>
      </rPr>
      <t>ANB≤0</t>
    </r>
    <r>
      <rPr>
        <sz val="12"/>
        <rFont val="宋体"/>
        <charset val="134"/>
      </rPr>
      <t>度）、伴颅颌面畸形、伴颞下颌关节病、阻生牙的情况。</t>
    </r>
    <r>
      <rPr>
        <sz val="12"/>
        <rFont val="Times New Roman"/>
        <charset val="0"/>
      </rPr>
      <t xml:space="preserve">
2.“</t>
    </r>
    <r>
      <rPr>
        <sz val="12"/>
        <rFont val="宋体"/>
        <charset val="134"/>
      </rPr>
      <t>疗程</t>
    </r>
    <r>
      <rPr>
        <sz val="12"/>
        <rFont val="Times New Roman"/>
        <charset val="0"/>
      </rPr>
      <t>”</t>
    </r>
    <r>
      <rPr>
        <sz val="12"/>
        <rFont val="宋体"/>
        <charset val="134"/>
      </rPr>
      <t>指从错合矫治治疗开始到结束。</t>
    </r>
  </si>
  <si>
    <t>013105020090000</t>
  </si>
  <si>
    <r>
      <rPr>
        <sz val="12"/>
        <rFont val="宋体"/>
        <charset val="134"/>
      </rPr>
      <t>恒牙期</t>
    </r>
    <r>
      <rPr>
        <sz val="12"/>
        <rFont val="宋体"/>
        <charset val="0"/>
      </rPr>
      <t>Ⅰ</t>
    </r>
    <r>
      <rPr>
        <sz val="12"/>
        <rFont val="宋体"/>
        <charset val="134"/>
      </rPr>
      <t>类错合矫治费（常规）</t>
    </r>
  </si>
  <si>
    <r>
      <rPr>
        <sz val="12"/>
        <rFont val="宋体"/>
        <charset val="134"/>
      </rPr>
      <t>通过矫治器安装调整进行恒牙期</t>
    </r>
    <r>
      <rPr>
        <sz val="12"/>
        <rFont val="宋体"/>
        <charset val="0"/>
      </rPr>
      <t>Ⅰ</t>
    </r>
    <r>
      <rPr>
        <sz val="12"/>
        <rFont val="宋体"/>
        <charset val="134"/>
      </rPr>
      <t>类错合畸形的矫治。</t>
    </r>
  </si>
  <si>
    <r>
      <rPr>
        <sz val="12"/>
        <rFont val="Times New Roman"/>
        <charset val="0"/>
      </rPr>
      <t>1.</t>
    </r>
    <r>
      <rPr>
        <sz val="12"/>
        <rFont val="宋体"/>
        <charset val="134"/>
      </rPr>
      <t>在同一家医疗机构正畸治疗结束，复发病例再次矫治，每例按疗程费用的</t>
    </r>
    <r>
      <rPr>
        <sz val="12"/>
        <rFont val="Times New Roman"/>
        <charset val="0"/>
      </rPr>
      <t>50%</t>
    </r>
    <r>
      <rPr>
        <sz val="12"/>
        <rFont val="宋体"/>
        <charset val="134"/>
      </rPr>
      <t>计价收费。</t>
    </r>
    <r>
      <rPr>
        <sz val="12"/>
        <rFont val="Times New Roman"/>
        <charset val="0"/>
      </rPr>
      <t xml:space="preserve">
2.“</t>
    </r>
    <r>
      <rPr>
        <sz val="12"/>
        <rFont val="宋体"/>
        <charset val="134"/>
      </rPr>
      <t>疗程</t>
    </r>
    <r>
      <rPr>
        <sz val="12"/>
        <rFont val="Times New Roman"/>
        <charset val="0"/>
      </rPr>
      <t>”</t>
    </r>
    <r>
      <rPr>
        <sz val="12"/>
        <rFont val="宋体"/>
        <charset val="134"/>
      </rPr>
      <t>指从错合矫治治疗开始到结束。</t>
    </r>
  </si>
  <si>
    <t>013105020100000</t>
  </si>
  <si>
    <r>
      <rPr>
        <sz val="12"/>
        <rFont val="宋体"/>
        <charset val="134"/>
      </rPr>
      <t>恒牙期</t>
    </r>
    <r>
      <rPr>
        <sz val="12"/>
        <rFont val="宋体"/>
        <charset val="0"/>
      </rPr>
      <t>Ⅰ</t>
    </r>
    <r>
      <rPr>
        <sz val="12"/>
        <rFont val="宋体"/>
        <charset val="134"/>
      </rPr>
      <t>类错合矫治费（复杂）</t>
    </r>
  </si>
  <si>
    <r>
      <rPr>
        <sz val="12"/>
        <rFont val="宋体"/>
        <charset val="134"/>
      </rPr>
      <t>通过矫治器安装调整进行疑难复杂情况的恒牙期</t>
    </r>
    <r>
      <rPr>
        <sz val="12"/>
        <rFont val="宋体"/>
        <charset val="0"/>
      </rPr>
      <t>Ⅰ</t>
    </r>
    <r>
      <rPr>
        <sz val="12"/>
        <rFont val="宋体"/>
        <charset val="134"/>
      </rPr>
      <t>类错合畸形的矫治。</t>
    </r>
  </si>
  <si>
    <r>
      <rPr>
        <sz val="12"/>
        <rFont val="Times New Roman"/>
        <charset val="0"/>
      </rPr>
      <t>1.</t>
    </r>
    <r>
      <rPr>
        <sz val="12"/>
        <rFont val="宋体"/>
        <charset val="134"/>
      </rPr>
      <t>复杂指：</t>
    </r>
    <r>
      <rPr>
        <sz val="12"/>
        <rFont val="Times New Roman"/>
        <charset val="0"/>
      </rPr>
      <t>18</t>
    </r>
    <r>
      <rPr>
        <sz val="12"/>
        <rFont val="宋体"/>
        <charset val="134"/>
      </rPr>
      <t>岁以上（不含</t>
    </r>
    <r>
      <rPr>
        <sz val="12"/>
        <rFont val="Times New Roman"/>
        <charset val="0"/>
      </rPr>
      <t>18</t>
    </r>
    <r>
      <rPr>
        <sz val="12"/>
        <rFont val="宋体"/>
        <charset val="134"/>
      </rPr>
      <t>岁）、开合、</t>
    </r>
    <r>
      <rPr>
        <sz val="12"/>
        <rFont val="Times New Roman"/>
        <charset val="0"/>
      </rPr>
      <t>III</t>
    </r>
    <r>
      <rPr>
        <sz val="12"/>
        <rFont val="宋体"/>
        <charset val="134"/>
      </rPr>
      <t>度深覆合、拔磨牙后关闭间隙、磨牙或牙弓远中移动、阻生牙、伴颅颌面畸形、伴颞下颌关节病、正畸</t>
    </r>
    <r>
      <rPr>
        <sz val="12"/>
        <rFont val="Times New Roman"/>
        <charset val="0"/>
      </rPr>
      <t>-</t>
    </r>
    <r>
      <rPr>
        <sz val="12"/>
        <rFont val="宋体"/>
        <charset val="134"/>
      </rPr>
      <t>正颌手术联合治疗、舌侧矫治的情况。</t>
    </r>
    <r>
      <rPr>
        <sz val="12"/>
        <rFont val="Times New Roman"/>
        <charset val="0"/>
      </rPr>
      <t xml:space="preserve">
2.</t>
    </r>
    <r>
      <rPr>
        <sz val="12"/>
        <rFont val="宋体"/>
        <charset val="134"/>
      </rPr>
      <t>在同一家医疗机构正畸治疗结束，复发病例再次矫治，每例按疗程费用的</t>
    </r>
    <r>
      <rPr>
        <sz val="12"/>
        <rFont val="Times New Roman"/>
        <charset val="0"/>
      </rPr>
      <t>50%</t>
    </r>
    <r>
      <rPr>
        <sz val="12"/>
        <rFont val="宋体"/>
        <charset val="134"/>
      </rPr>
      <t>计价收费。</t>
    </r>
    <r>
      <rPr>
        <sz val="12"/>
        <rFont val="Times New Roman"/>
        <charset val="0"/>
      </rPr>
      <t xml:space="preserve">
3.“</t>
    </r>
    <r>
      <rPr>
        <sz val="12"/>
        <rFont val="宋体"/>
        <charset val="134"/>
      </rPr>
      <t>疗程</t>
    </r>
    <r>
      <rPr>
        <sz val="12"/>
        <rFont val="Times New Roman"/>
        <charset val="0"/>
      </rPr>
      <t>”</t>
    </r>
    <r>
      <rPr>
        <sz val="12"/>
        <rFont val="宋体"/>
        <charset val="134"/>
      </rPr>
      <t>指从错合矫治治疗开始到结束。</t>
    </r>
  </si>
  <si>
    <t>013105020110000</t>
  </si>
  <si>
    <r>
      <rPr>
        <sz val="12"/>
        <rFont val="宋体"/>
        <charset val="134"/>
      </rPr>
      <t>恒牙期</t>
    </r>
    <r>
      <rPr>
        <sz val="12"/>
        <rFont val="宋体"/>
        <charset val="0"/>
      </rPr>
      <t>Ⅱ</t>
    </r>
    <r>
      <rPr>
        <sz val="12"/>
        <rFont val="宋体"/>
        <charset val="134"/>
      </rPr>
      <t>类错合矫治费（常规）</t>
    </r>
  </si>
  <si>
    <r>
      <rPr>
        <sz val="12"/>
        <rFont val="宋体"/>
        <charset val="134"/>
      </rPr>
      <t>通过矫治器安装调整进行恒牙期</t>
    </r>
    <r>
      <rPr>
        <sz val="12"/>
        <rFont val="宋体"/>
        <charset val="0"/>
      </rPr>
      <t>Ⅱ</t>
    </r>
    <r>
      <rPr>
        <sz val="12"/>
        <rFont val="宋体"/>
        <charset val="134"/>
      </rPr>
      <t>类错合畸形的矫治。</t>
    </r>
  </si>
  <si>
    <t>013105020120000</t>
  </si>
  <si>
    <r>
      <rPr>
        <sz val="12"/>
        <rFont val="宋体"/>
        <charset val="134"/>
      </rPr>
      <t>恒牙期</t>
    </r>
    <r>
      <rPr>
        <sz val="12"/>
        <rFont val="宋体"/>
        <charset val="0"/>
      </rPr>
      <t>Ⅱ</t>
    </r>
    <r>
      <rPr>
        <sz val="12"/>
        <rFont val="宋体"/>
        <charset val="134"/>
      </rPr>
      <t>类错合矫治费（复杂）</t>
    </r>
  </si>
  <si>
    <r>
      <rPr>
        <sz val="12"/>
        <rFont val="宋体"/>
        <charset val="134"/>
      </rPr>
      <t>通过矫治器安装调整进行疑难复杂情况的恒牙期</t>
    </r>
    <r>
      <rPr>
        <sz val="12"/>
        <rFont val="宋体"/>
        <charset val="0"/>
      </rPr>
      <t>Ⅱ</t>
    </r>
    <r>
      <rPr>
        <sz val="12"/>
        <rFont val="宋体"/>
        <charset val="134"/>
      </rPr>
      <t>类错合畸形的矫治。</t>
    </r>
  </si>
  <si>
    <r>
      <rPr>
        <sz val="12"/>
        <rFont val="Times New Roman"/>
        <charset val="0"/>
      </rPr>
      <t>1.</t>
    </r>
    <r>
      <rPr>
        <sz val="12"/>
        <rFont val="宋体"/>
        <charset val="134"/>
      </rPr>
      <t>复杂指：</t>
    </r>
    <r>
      <rPr>
        <sz val="12"/>
        <rFont val="Times New Roman"/>
        <charset val="0"/>
      </rPr>
      <t>18</t>
    </r>
    <r>
      <rPr>
        <sz val="12"/>
        <rFont val="宋体"/>
        <charset val="134"/>
      </rPr>
      <t>岁以上（不含</t>
    </r>
    <r>
      <rPr>
        <sz val="12"/>
        <rFont val="Times New Roman"/>
        <charset val="0"/>
      </rPr>
      <t>18</t>
    </r>
    <r>
      <rPr>
        <sz val="12"/>
        <rFont val="宋体"/>
        <charset val="134"/>
      </rPr>
      <t>岁）、开合、</t>
    </r>
    <r>
      <rPr>
        <sz val="12"/>
        <rFont val="Times New Roman"/>
        <charset val="0"/>
      </rPr>
      <t>III</t>
    </r>
    <r>
      <rPr>
        <sz val="12"/>
        <rFont val="宋体"/>
        <charset val="134"/>
      </rPr>
      <t>度深覆合、拔磨牙后关闭间隙、阻生牙、上颌前突（</t>
    </r>
    <r>
      <rPr>
        <sz val="12"/>
        <rFont val="Times New Roman"/>
        <charset val="0"/>
      </rPr>
      <t>ANB≥5</t>
    </r>
    <r>
      <rPr>
        <sz val="12"/>
        <rFont val="宋体"/>
        <charset val="134"/>
      </rPr>
      <t>度）的拔牙正畸治疗、磨牙或牙弓远中移动、伴颅颌面畸形、伴颞下颌关节病、正畸</t>
    </r>
    <r>
      <rPr>
        <sz val="12"/>
        <rFont val="Times New Roman"/>
        <charset val="0"/>
      </rPr>
      <t>-</t>
    </r>
    <r>
      <rPr>
        <sz val="12"/>
        <rFont val="宋体"/>
        <charset val="134"/>
      </rPr>
      <t>正颌手术联合治疗、舌侧矫治的情况。</t>
    </r>
    <r>
      <rPr>
        <sz val="12"/>
        <rFont val="Times New Roman"/>
        <charset val="0"/>
      </rPr>
      <t xml:space="preserve">
2.</t>
    </r>
    <r>
      <rPr>
        <sz val="12"/>
        <rFont val="宋体"/>
        <charset val="134"/>
      </rPr>
      <t>在同一家医疗机构正畸治疗结束，复发病例再次矫治，每例按疗程费用的</t>
    </r>
    <r>
      <rPr>
        <sz val="12"/>
        <rFont val="Times New Roman"/>
        <charset val="0"/>
      </rPr>
      <t>50%</t>
    </r>
    <r>
      <rPr>
        <sz val="12"/>
        <rFont val="宋体"/>
        <charset val="134"/>
      </rPr>
      <t>计价收费。</t>
    </r>
    <r>
      <rPr>
        <sz val="12"/>
        <rFont val="Times New Roman"/>
        <charset val="0"/>
      </rPr>
      <t xml:space="preserve">
3.“</t>
    </r>
    <r>
      <rPr>
        <sz val="12"/>
        <rFont val="宋体"/>
        <charset val="134"/>
      </rPr>
      <t>疗程</t>
    </r>
    <r>
      <rPr>
        <sz val="12"/>
        <rFont val="Times New Roman"/>
        <charset val="0"/>
      </rPr>
      <t>”</t>
    </r>
    <r>
      <rPr>
        <sz val="12"/>
        <rFont val="宋体"/>
        <charset val="134"/>
      </rPr>
      <t>指从错合矫治治疗开始到结束。</t>
    </r>
  </si>
  <si>
    <t>013105020130000</t>
  </si>
  <si>
    <r>
      <rPr>
        <sz val="12"/>
        <rFont val="宋体"/>
        <charset val="134"/>
      </rPr>
      <t>恒牙期</t>
    </r>
    <r>
      <rPr>
        <sz val="12"/>
        <rFont val="宋体"/>
        <charset val="0"/>
      </rPr>
      <t>Ⅲ</t>
    </r>
    <r>
      <rPr>
        <sz val="12"/>
        <rFont val="宋体"/>
        <charset val="134"/>
      </rPr>
      <t>类错合矫治费（常规）</t>
    </r>
  </si>
  <si>
    <r>
      <rPr>
        <sz val="12"/>
        <rFont val="宋体"/>
        <charset val="134"/>
      </rPr>
      <t>通过矫治器安装调整进行恒牙期</t>
    </r>
    <r>
      <rPr>
        <sz val="12"/>
        <rFont val="宋体"/>
        <charset val="0"/>
      </rPr>
      <t>Ⅲ</t>
    </r>
    <r>
      <rPr>
        <sz val="12"/>
        <rFont val="宋体"/>
        <charset val="134"/>
      </rPr>
      <t>类错合畸形的矫治。</t>
    </r>
  </si>
  <si>
    <t>013105020140000</t>
  </si>
  <si>
    <r>
      <rPr>
        <sz val="12"/>
        <rFont val="宋体"/>
        <charset val="134"/>
      </rPr>
      <t>恒牙期</t>
    </r>
    <r>
      <rPr>
        <sz val="12"/>
        <rFont val="宋体"/>
        <charset val="0"/>
      </rPr>
      <t>Ⅲ</t>
    </r>
    <r>
      <rPr>
        <sz val="12"/>
        <rFont val="宋体"/>
        <charset val="134"/>
      </rPr>
      <t>类错合矫治费（复杂）</t>
    </r>
  </si>
  <si>
    <r>
      <rPr>
        <sz val="12"/>
        <rFont val="宋体"/>
        <charset val="134"/>
      </rPr>
      <t>通过矫治器安装调整进行疑难复杂情况的恒牙期</t>
    </r>
    <r>
      <rPr>
        <sz val="12"/>
        <rFont val="宋体"/>
        <charset val="0"/>
      </rPr>
      <t>Ⅲ</t>
    </r>
    <r>
      <rPr>
        <sz val="12"/>
        <rFont val="宋体"/>
        <charset val="134"/>
      </rPr>
      <t>类错合畸形的矫治。</t>
    </r>
  </si>
  <si>
    <r>
      <rPr>
        <sz val="12"/>
        <rFont val="Times New Roman"/>
        <charset val="0"/>
      </rPr>
      <t>1.</t>
    </r>
    <r>
      <rPr>
        <sz val="12"/>
        <rFont val="宋体"/>
        <charset val="134"/>
      </rPr>
      <t>复杂指：</t>
    </r>
    <r>
      <rPr>
        <sz val="12"/>
        <rFont val="Times New Roman"/>
        <charset val="0"/>
      </rPr>
      <t>18</t>
    </r>
    <r>
      <rPr>
        <sz val="12"/>
        <rFont val="宋体"/>
        <charset val="134"/>
      </rPr>
      <t>岁以上（不含</t>
    </r>
    <r>
      <rPr>
        <sz val="12"/>
        <rFont val="Times New Roman"/>
        <charset val="0"/>
      </rPr>
      <t>18</t>
    </r>
    <r>
      <rPr>
        <sz val="12"/>
        <rFont val="宋体"/>
        <charset val="134"/>
      </rPr>
      <t>岁）、开合、</t>
    </r>
    <r>
      <rPr>
        <sz val="12"/>
        <rFont val="Times New Roman"/>
        <charset val="0"/>
      </rPr>
      <t>III</t>
    </r>
    <r>
      <rPr>
        <sz val="12"/>
        <rFont val="宋体"/>
        <charset val="134"/>
      </rPr>
      <t>度深覆合、</t>
    </r>
    <r>
      <rPr>
        <sz val="12"/>
        <rFont val="Times New Roman"/>
        <charset val="0"/>
      </rPr>
      <t>3</t>
    </r>
    <r>
      <rPr>
        <sz val="12"/>
        <rFont val="宋体"/>
        <charset val="134"/>
      </rPr>
      <t>颗以上后牙反合、拔磨牙后关闭间隙、阻生牙、下颌前突（</t>
    </r>
    <r>
      <rPr>
        <sz val="12"/>
        <rFont val="Times New Roman"/>
        <charset val="0"/>
      </rPr>
      <t>ANB≤0</t>
    </r>
    <r>
      <rPr>
        <sz val="12"/>
        <rFont val="宋体"/>
        <charset val="134"/>
      </rPr>
      <t>度）的拔牙正畸治疗、磨牙或牙弓远中移动、伴颅颌面畸形、伴颞下颌关节病、正畸</t>
    </r>
    <r>
      <rPr>
        <sz val="12"/>
        <rFont val="Times New Roman"/>
        <charset val="0"/>
      </rPr>
      <t>-</t>
    </r>
    <r>
      <rPr>
        <sz val="12"/>
        <rFont val="宋体"/>
        <charset val="134"/>
      </rPr>
      <t>正颌手术联合治疗、舌侧矫治的情况。</t>
    </r>
    <r>
      <rPr>
        <sz val="12"/>
        <rFont val="Times New Roman"/>
        <charset val="0"/>
      </rPr>
      <t xml:space="preserve">
2.</t>
    </r>
    <r>
      <rPr>
        <sz val="12"/>
        <rFont val="宋体"/>
        <charset val="134"/>
      </rPr>
      <t>在同一家医疗机构正畸治疗结束，复发病例再次矫治，每例按疗程费用的</t>
    </r>
    <r>
      <rPr>
        <sz val="12"/>
        <rFont val="Times New Roman"/>
        <charset val="0"/>
      </rPr>
      <t>50%</t>
    </r>
    <r>
      <rPr>
        <sz val="12"/>
        <rFont val="宋体"/>
        <charset val="134"/>
      </rPr>
      <t>计价收费。</t>
    </r>
    <r>
      <rPr>
        <sz val="12"/>
        <rFont val="Times New Roman"/>
        <charset val="0"/>
      </rPr>
      <t xml:space="preserve">
3.“</t>
    </r>
    <r>
      <rPr>
        <sz val="12"/>
        <rFont val="宋体"/>
        <charset val="134"/>
      </rPr>
      <t>疗程</t>
    </r>
    <r>
      <rPr>
        <sz val="12"/>
        <rFont val="Times New Roman"/>
        <charset val="0"/>
      </rPr>
      <t>”</t>
    </r>
    <r>
      <rPr>
        <sz val="12"/>
        <rFont val="宋体"/>
        <charset val="134"/>
      </rPr>
      <t>指从错合矫治治疗开始到结束。</t>
    </r>
  </si>
  <si>
    <t>013105020150000</t>
  </si>
  <si>
    <r>
      <rPr>
        <sz val="12"/>
        <rFont val="宋体"/>
        <charset val="134"/>
      </rPr>
      <t>恒牙期</t>
    </r>
    <r>
      <rPr>
        <sz val="12"/>
        <rFont val="宋体"/>
        <charset val="0"/>
      </rPr>
      <t>Ⅰ</t>
    </r>
    <r>
      <rPr>
        <sz val="12"/>
        <rFont val="宋体"/>
        <charset val="134"/>
      </rPr>
      <t>类错合矫形功能治疗费</t>
    </r>
  </si>
  <si>
    <r>
      <rPr>
        <sz val="12"/>
        <rFont val="宋体"/>
        <charset val="134"/>
      </rPr>
      <t>通过针对性矫治器的安装进行恒牙期</t>
    </r>
    <r>
      <rPr>
        <sz val="12"/>
        <rFont val="Times New Roman"/>
        <charset val="0"/>
      </rPr>
      <t>I</t>
    </r>
    <r>
      <rPr>
        <sz val="12"/>
        <rFont val="宋体"/>
        <charset val="134"/>
      </rPr>
      <t>类错合畸形的矫形和功能治疗。</t>
    </r>
  </si>
  <si>
    <r>
      <rPr>
        <sz val="12"/>
        <rFont val="Times New Roman"/>
        <charset val="0"/>
      </rPr>
      <t>“</t>
    </r>
    <r>
      <rPr>
        <sz val="12"/>
        <rFont val="宋体"/>
        <charset val="134"/>
      </rPr>
      <t>疗程</t>
    </r>
    <r>
      <rPr>
        <sz val="12"/>
        <rFont val="Times New Roman"/>
        <charset val="0"/>
      </rPr>
      <t>”</t>
    </r>
    <r>
      <rPr>
        <sz val="12"/>
        <rFont val="宋体"/>
        <charset val="134"/>
      </rPr>
      <t>指从错合矫形治疗开始到结束。</t>
    </r>
  </si>
  <si>
    <t>013105020160000</t>
  </si>
  <si>
    <r>
      <rPr>
        <sz val="12"/>
        <rFont val="宋体"/>
        <charset val="134"/>
      </rPr>
      <t>恒牙期</t>
    </r>
    <r>
      <rPr>
        <sz val="12"/>
        <rFont val="宋体"/>
        <charset val="0"/>
      </rPr>
      <t>Ⅱ</t>
    </r>
    <r>
      <rPr>
        <sz val="12"/>
        <rFont val="宋体"/>
        <charset val="134"/>
      </rPr>
      <t>类错合矫形功能治疗费</t>
    </r>
  </si>
  <si>
    <r>
      <rPr>
        <sz val="12"/>
        <rFont val="宋体"/>
        <charset val="134"/>
      </rPr>
      <t>通过针对性矫治器的安装进行恒牙期</t>
    </r>
    <r>
      <rPr>
        <sz val="12"/>
        <rFont val="宋体"/>
        <charset val="0"/>
      </rPr>
      <t>Ⅱ</t>
    </r>
    <r>
      <rPr>
        <sz val="12"/>
        <rFont val="宋体"/>
        <charset val="134"/>
      </rPr>
      <t>类错合畸形的矫形和功能治疗。</t>
    </r>
  </si>
  <si>
    <t>013105020170000</t>
  </si>
  <si>
    <r>
      <rPr>
        <sz val="12"/>
        <rFont val="宋体"/>
        <charset val="134"/>
      </rPr>
      <t>恒牙期</t>
    </r>
    <r>
      <rPr>
        <sz val="12"/>
        <rFont val="宋体"/>
        <charset val="0"/>
      </rPr>
      <t>Ⅲ</t>
    </r>
    <r>
      <rPr>
        <sz val="12"/>
        <rFont val="宋体"/>
        <charset val="134"/>
      </rPr>
      <t>类错合矫形功能治疗费</t>
    </r>
  </si>
  <si>
    <r>
      <rPr>
        <sz val="12"/>
        <rFont val="宋体"/>
        <charset val="134"/>
      </rPr>
      <t>通过针对性矫治器的安装进行恒牙期</t>
    </r>
    <r>
      <rPr>
        <sz val="12"/>
        <rFont val="Times New Roman"/>
        <charset val="0"/>
      </rPr>
      <t>III</t>
    </r>
    <r>
      <rPr>
        <sz val="12"/>
        <rFont val="宋体"/>
        <charset val="134"/>
      </rPr>
      <t>类错合畸形的矫形和功能治疗。</t>
    </r>
  </si>
  <si>
    <t>013105020180000</t>
  </si>
  <si>
    <t>新生儿唇腭裂术前治疗费</t>
  </si>
  <si>
    <t>针对婴儿期唇腭裂唇裂术前，通过矫治器安装调整，实现鼻齿槽塑形。</t>
  </si>
  <si>
    <t>所定价格涵盖准备、方案设计、矫治器安装、调整、拆除、处理用物等步骤所需的人力资源和基本物质资源消耗。</t>
  </si>
  <si>
    <t>013105020190000</t>
  </si>
  <si>
    <t>睡眠呼吸暂停综合征口腔正畸辅助治疗费</t>
  </si>
  <si>
    <t>通过口腔阻鼾器安装调整或扩弓活动矫治，减轻阻塞性睡眠呼吸暂停的症状。</t>
  </si>
  <si>
    <t>所定价格涵盖准备、方案设计、矫治器安装、调整评估、处理用物等步骤所需的人力资源和基本物质资源消耗。</t>
  </si>
  <si>
    <t>013105020200000</t>
  </si>
  <si>
    <t>局部正畸矫治费</t>
  </si>
  <si>
    <t>使用局部矫治器矫治一个象限内的牙齿伸长、倾斜、间隙关闭或开展、微小牙齿移动等矫治。</t>
  </si>
  <si>
    <r>
      <rPr>
        <sz val="12"/>
        <rFont val="宋体"/>
        <charset val="134"/>
      </rPr>
      <t>象限</t>
    </r>
    <r>
      <rPr>
        <sz val="12"/>
        <rFont val="Times New Roman"/>
        <charset val="0"/>
      </rPr>
      <t>•</t>
    </r>
    <r>
      <rPr>
        <sz val="12"/>
        <rFont val="宋体"/>
        <charset val="134"/>
      </rPr>
      <t>疗程</t>
    </r>
  </si>
  <si>
    <r>
      <rPr>
        <sz val="12"/>
        <rFont val="Times New Roman"/>
        <charset val="0"/>
      </rPr>
      <t>1.</t>
    </r>
    <r>
      <rPr>
        <sz val="12"/>
        <rFont val="宋体"/>
        <charset val="134"/>
      </rPr>
      <t>全口共</t>
    </r>
    <r>
      <rPr>
        <sz val="12"/>
        <rFont val="Times New Roman"/>
        <charset val="0"/>
      </rPr>
      <t>4</t>
    </r>
    <r>
      <rPr>
        <sz val="12"/>
        <rFont val="宋体"/>
        <charset val="134"/>
      </rPr>
      <t>个象限。</t>
    </r>
    <r>
      <rPr>
        <sz val="12"/>
        <rFont val="Times New Roman"/>
        <charset val="0"/>
      </rPr>
      <t xml:space="preserve">
2.</t>
    </r>
    <r>
      <rPr>
        <sz val="12"/>
        <rFont val="宋体"/>
        <charset val="134"/>
      </rPr>
      <t>累计收费价格超过全口价格，按照全口价格计价收费。</t>
    </r>
  </si>
  <si>
    <t>013105020210000</t>
  </si>
  <si>
    <t>口腔固定保持器安装费</t>
  </si>
  <si>
    <t>为需要正畸治疗后进行固定保持的患者安装固定保持器。</t>
  </si>
  <si>
    <t>所定价格涵盖准备、安装、调试、处理用物等步骤所需的人力资源和基本物质资源消耗。</t>
  </si>
  <si>
    <t>单颌</t>
  </si>
  <si>
    <t>间隙保持器按该项目收费。</t>
  </si>
  <si>
    <t>013105020220000</t>
  </si>
  <si>
    <t>口腔固定保持器拆除费</t>
  </si>
  <si>
    <t>为需要拆除固定保持器的患者去除固定保持器。</t>
  </si>
  <si>
    <t>所定价格涵盖准备、拆除、处理用物等步骤所需的人力资源和基本物质资源消耗。</t>
  </si>
  <si>
    <t>013105020230000</t>
  </si>
  <si>
    <t>错合畸形治疗设计费</t>
  </si>
  <si>
    <t>通过各项检查完成错合畸形的诊断与矫治方案设计。</t>
  </si>
  <si>
    <t>所定价格涵盖准备、模型制取和灌注、模型测量、面颌像拍照、头影测量分析、制定治疗计划和方案、处理用物等步骤所需的人力资源和基本物质资源消耗。</t>
  </si>
  <si>
    <r>
      <rPr>
        <sz val="12"/>
        <rFont val="Times New Roman"/>
        <charset val="0"/>
      </rPr>
      <t>1.</t>
    </r>
    <r>
      <rPr>
        <sz val="12"/>
        <rFont val="宋体"/>
        <charset val="134"/>
      </rPr>
      <t>完成</t>
    </r>
    <r>
      <rPr>
        <sz val="12"/>
        <rFont val="Times New Roman"/>
        <charset val="0"/>
      </rPr>
      <t>1</t>
    </r>
    <r>
      <rPr>
        <sz val="12"/>
        <rFont val="宋体"/>
        <charset val="134"/>
      </rPr>
      <t>个疗程计价收费</t>
    </r>
    <r>
      <rPr>
        <sz val="12"/>
        <rFont val="Times New Roman"/>
        <charset val="0"/>
      </rPr>
      <t>1</t>
    </r>
    <r>
      <rPr>
        <sz val="12"/>
        <rFont val="宋体"/>
        <charset val="134"/>
      </rPr>
      <t>次；在本医疗机构中开展的矫治不得同时收取设计费。</t>
    </r>
    <r>
      <rPr>
        <sz val="12"/>
        <rFont val="Times New Roman"/>
        <charset val="0"/>
      </rPr>
      <t xml:space="preserve">
2.</t>
    </r>
    <r>
      <rPr>
        <sz val="12"/>
        <rFont val="宋体"/>
        <charset val="134"/>
      </rPr>
      <t>不含放射检查费用。</t>
    </r>
  </si>
  <si>
    <t>013306020010000</t>
  </si>
  <si>
    <t>正畸支抗钉植入费</t>
  </si>
  <si>
    <t>通过将正畸支抗钉植入颌骨协助完成正畸治疗。</t>
  </si>
  <si>
    <t>所定价格涵盖手术计划、术区准备、消毒、植入、处理用物等步骤所需的人力资源和基本物质资源消耗。</t>
  </si>
  <si>
    <t>每钉</t>
  </si>
  <si>
    <t>013306020010001</t>
  </si>
  <si>
    <r>
      <rPr>
        <sz val="12"/>
        <rFont val="宋体"/>
        <charset val="134"/>
      </rPr>
      <t>正畸支抗钉植入费</t>
    </r>
    <r>
      <rPr>
        <sz val="12"/>
        <rFont val="Times New Roman"/>
        <charset val="0"/>
      </rPr>
      <t>-</t>
    </r>
    <r>
      <rPr>
        <sz val="12"/>
        <rFont val="宋体"/>
        <charset val="134"/>
      </rPr>
      <t>儿童（加收）</t>
    </r>
  </si>
  <si>
    <t>013105010330000</t>
  </si>
  <si>
    <t>牙根牵引费</t>
  </si>
  <si>
    <t>通过牵引方法将冠根折或根折的外伤牙齿牵引至龈上。</t>
  </si>
  <si>
    <t>所定价格涵盖准备、切开、粘接或制戴、牵引、加力、调整、处理用物等步骤所需的人力资源和基本物质资源消耗。</t>
  </si>
  <si>
    <t>牙</t>
  </si>
  <si>
    <t>012406000010000</t>
  </si>
  <si>
    <t>牙髓活力测验费</t>
  </si>
  <si>
    <t>通过设备检查评估牙髓活力状态。</t>
  </si>
  <si>
    <t>所定价格涵盖准备、隔离、测验、评估、处理用物等步骤所需的人力资源和基本物质资源消耗。</t>
  </si>
  <si>
    <t>013105010010000</t>
  </si>
  <si>
    <t>橡皮障隔离费</t>
  </si>
  <si>
    <t>通过专用的橡皮障套装隔开接受治疗的牙齿与口腔。</t>
  </si>
  <si>
    <t>所定价格涵盖准备、隔离、处理用物等步骤所需的人力资源和基本物质资源消耗。</t>
  </si>
  <si>
    <t>013105010020000</t>
  </si>
  <si>
    <t>牙体开髓引流费</t>
  </si>
  <si>
    <t>对于牙髓急症患者仅行开髓引流、牙髓摘除以缓解急性疼痛。</t>
  </si>
  <si>
    <t>所定价格涵盖准备、开髓、拔髓、处理用物等步骤所需的人力资源和基本物质资源消耗。</t>
  </si>
  <si>
    <t>仅限于牙髓急症患者应急处置时收费，在其他牙髓治疗中作为相关项目的价格构成，不单独收费。</t>
  </si>
  <si>
    <t>013105010020001</t>
  </si>
  <si>
    <r>
      <rPr>
        <sz val="12"/>
        <rFont val="宋体"/>
        <charset val="134"/>
      </rPr>
      <t>牙体开髓引流费</t>
    </r>
    <r>
      <rPr>
        <sz val="12"/>
        <rFont val="Times New Roman"/>
        <charset val="0"/>
      </rPr>
      <t>-</t>
    </r>
    <r>
      <rPr>
        <sz val="12"/>
        <rFont val="宋体"/>
        <charset val="134"/>
      </rPr>
      <t>儿童（加收）</t>
    </r>
  </si>
  <si>
    <t>013105010030000</t>
  </si>
  <si>
    <t>牙髓失活费</t>
  </si>
  <si>
    <t>通过失活剂去除牙髓的活性。</t>
  </si>
  <si>
    <t>所定价格涵盖准备、开髓、放置失活剂、处理用物等步骤所需的人力资源和基本物质资源消耗。</t>
  </si>
  <si>
    <t>013105010030001</t>
  </si>
  <si>
    <r>
      <rPr>
        <sz val="12"/>
        <rFont val="宋体"/>
        <charset val="134"/>
      </rPr>
      <t>牙髓失活费</t>
    </r>
    <r>
      <rPr>
        <sz val="12"/>
        <rFont val="Times New Roman"/>
        <charset val="0"/>
      </rPr>
      <t>-</t>
    </r>
    <r>
      <rPr>
        <sz val="12"/>
        <rFont val="宋体"/>
        <charset val="134"/>
      </rPr>
      <t>儿童（加收）</t>
    </r>
  </si>
  <si>
    <t>013105010040000</t>
  </si>
  <si>
    <t>干髓治疗费</t>
  </si>
  <si>
    <t>通过干髓剂使牙髓保持干尸化。</t>
  </si>
  <si>
    <t>所定价格涵盖准备、开髓、去除冠髓、放置干髓剂、处理用物等步骤所需的人力资源和基本物质资源消耗。</t>
  </si>
  <si>
    <t>013105010050000</t>
  </si>
  <si>
    <t>根管预备费</t>
  </si>
  <si>
    <t>通过清理扩大根管，清除感染坏死牙髓组织，对根管内部进行清理成形。</t>
  </si>
  <si>
    <t>所定价格涵盖准备、开髓、拔髓、疏通、测量、预备、处理用物等步骤所需的人力资源和基本物质资源消耗。</t>
  </si>
  <si>
    <t>根管</t>
  </si>
  <si>
    <r>
      <rPr>
        <sz val="12"/>
        <rFont val="宋体"/>
        <charset val="134"/>
      </rPr>
      <t>根管异常指：中重度弯曲根管、</t>
    </r>
    <r>
      <rPr>
        <sz val="12"/>
        <rFont val="Times New Roman"/>
        <charset val="0"/>
      </rPr>
      <t>C</t>
    </r>
    <r>
      <rPr>
        <sz val="12"/>
        <rFont val="宋体"/>
        <charset val="134"/>
      </rPr>
      <t>型根管、根管间交通枝等特殊根管。</t>
    </r>
  </si>
  <si>
    <t>013105010050001</t>
  </si>
  <si>
    <r>
      <rPr>
        <sz val="12"/>
        <rFont val="宋体"/>
        <charset val="134"/>
      </rPr>
      <t>根管预备费</t>
    </r>
    <r>
      <rPr>
        <sz val="12"/>
        <rFont val="Times New Roman"/>
        <charset val="0"/>
      </rPr>
      <t>-</t>
    </r>
    <r>
      <rPr>
        <sz val="12"/>
        <rFont val="宋体"/>
        <charset val="134"/>
      </rPr>
      <t>儿童（加收）</t>
    </r>
  </si>
  <si>
    <t>013105010050011</t>
  </si>
  <si>
    <r>
      <rPr>
        <sz val="12"/>
        <rFont val="宋体"/>
        <charset val="134"/>
      </rPr>
      <t>根管预备费</t>
    </r>
    <r>
      <rPr>
        <sz val="12"/>
        <rFont val="Times New Roman"/>
        <charset val="0"/>
      </rPr>
      <t>-</t>
    </r>
    <r>
      <rPr>
        <sz val="12"/>
        <rFont val="宋体"/>
        <charset val="134"/>
      </rPr>
      <t>根管异常（加收）</t>
    </r>
  </si>
  <si>
    <t>013105010060000</t>
  </si>
  <si>
    <t>根管冲洗费</t>
  </si>
  <si>
    <t>对根管进行冲洗消毒及感染控制。</t>
  </si>
  <si>
    <t>所定价格涵盖准备、冲洗、处理用物等步骤所需的人力资源和基本物质资源消耗。</t>
  </si>
  <si>
    <t>013105010060100</t>
  </si>
  <si>
    <r>
      <rPr>
        <sz val="12"/>
        <rFont val="宋体"/>
        <charset val="134"/>
      </rPr>
      <t>根管冲洗费</t>
    </r>
    <r>
      <rPr>
        <sz val="12"/>
        <rFont val="Times New Roman"/>
        <charset val="0"/>
      </rPr>
      <t>-</t>
    </r>
    <r>
      <rPr>
        <sz val="12"/>
        <rFont val="宋体"/>
        <charset val="134"/>
      </rPr>
      <t>根管封药费（扩展）</t>
    </r>
  </si>
  <si>
    <t>013105010070000</t>
  </si>
  <si>
    <t>根管充填费</t>
  </si>
  <si>
    <t>通过向根管内充填，封闭根管系统。</t>
  </si>
  <si>
    <t>所定价格涵盖准备、充填、处理用物，必要时加压充填等步骤所需的人力资源和基本物质资源消耗。</t>
  </si>
  <si>
    <t>013105010070001</t>
  </si>
  <si>
    <r>
      <rPr>
        <sz val="12"/>
        <rFont val="宋体"/>
        <charset val="134"/>
      </rPr>
      <t>根管充填费</t>
    </r>
    <r>
      <rPr>
        <sz val="12"/>
        <rFont val="Times New Roman"/>
        <charset val="0"/>
      </rPr>
      <t>-</t>
    </r>
    <r>
      <rPr>
        <sz val="12"/>
        <rFont val="宋体"/>
        <charset val="134"/>
      </rPr>
      <t>儿童（加收）</t>
    </r>
  </si>
  <si>
    <t>013105010070011</t>
  </si>
  <si>
    <r>
      <rPr>
        <sz val="12"/>
        <rFont val="宋体"/>
        <charset val="134"/>
      </rPr>
      <t>根管充填费</t>
    </r>
    <r>
      <rPr>
        <sz val="12"/>
        <rFont val="Times New Roman"/>
        <charset val="0"/>
      </rPr>
      <t>-</t>
    </r>
    <r>
      <rPr>
        <sz val="12"/>
        <rFont val="宋体"/>
        <charset val="134"/>
      </rPr>
      <t>根管异常（加收）</t>
    </r>
  </si>
  <si>
    <t>013105010070100</t>
  </si>
  <si>
    <r>
      <rPr>
        <sz val="12"/>
        <rFont val="宋体"/>
        <charset val="134"/>
      </rPr>
      <t>根管充填费</t>
    </r>
    <r>
      <rPr>
        <sz val="12"/>
        <rFont val="Times New Roman"/>
        <charset val="0"/>
      </rPr>
      <t>-</t>
    </r>
    <r>
      <rPr>
        <sz val="12"/>
        <rFont val="宋体"/>
        <charset val="134"/>
      </rPr>
      <t>乳牙根管充填费（扩展）</t>
    </r>
  </si>
  <si>
    <t>013105010080000</t>
  </si>
  <si>
    <t>根管再治疗费</t>
  </si>
  <si>
    <t>针对牙髓治疗后出现的问题进行的治疗。</t>
  </si>
  <si>
    <t>所定价格涵盖准备、取出、建立通道、处理用物等步骤所需的人力资源和基本物质资源消耗。</t>
  </si>
  <si>
    <t>013105010090000</t>
  </si>
  <si>
    <t>根管内异物取出费</t>
  </si>
  <si>
    <t>取出存留在根管内的异物。</t>
  </si>
  <si>
    <t>所定价格涵盖准备、确定位置、取出、处理用物等步骤所需的人力资源和基本物质资源消耗。</t>
  </si>
  <si>
    <t>013105010090001</t>
  </si>
  <si>
    <r>
      <rPr>
        <sz val="12"/>
        <rFont val="宋体"/>
        <charset val="134"/>
      </rPr>
      <t>根管内异物取出费</t>
    </r>
    <r>
      <rPr>
        <sz val="12"/>
        <rFont val="Times New Roman"/>
        <charset val="0"/>
      </rPr>
      <t>-</t>
    </r>
    <r>
      <rPr>
        <sz val="12"/>
        <rFont val="宋体"/>
        <charset val="134"/>
      </rPr>
      <t>根尖段异物取出（加收）</t>
    </r>
  </si>
  <si>
    <t>013306020020000</t>
  </si>
  <si>
    <t>根尖诱导成形费</t>
  </si>
  <si>
    <t>诱导牙根继续发育或根尖封闭。</t>
  </si>
  <si>
    <t>所定价格涵盖手术计划、术区准备、消毒、开髓、去除、干燥、诱导、处理用物等步骤所需的人力资源和基本物质资源消耗。</t>
  </si>
  <si>
    <t>013306020020001</t>
  </si>
  <si>
    <r>
      <rPr>
        <sz val="12"/>
        <rFont val="宋体"/>
        <charset val="134"/>
      </rPr>
      <t>根尖诱导成形费</t>
    </r>
    <r>
      <rPr>
        <sz val="12"/>
        <rFont val="Times New Roman"/>
        <charset val="0"/>
      </rPr>
      <t>-</t>
    </r>
    <r>
      <rPr>
        <sz val="12"/>
        <rFont val="宋体"/>
        <charset val="134"/>
      </rPr>
      <t>儿童（加收）</t>
    </r>
  </si>
  <si>
    <t>013306020030000</t>
  </si>
  <si>
    <t>根尖屏障手术费</t>
  </si>
  <si>
    <t>针对根尖孔未闭合或较宽大的情况，封闭根尖段建立屏障。</t>
  </si>
  <si>
    <t>所定价格涵盖手术计划、术区准备、清洁、填充、处理用物等步骤所需的人力资源和基本物质资源消耗。</t>
  </si>
  <si>
    <t>013306020030001</t>
  </si>
  <si>
    <r>
      <rPr>
        <sz val="12"/>
        <rFont val="宋体"/>
        <charset val="134"/>
      </rPr>
      <t>根尖屏障手术费</t>
    </r>
    <r>
      <rPr>
        <sz val="12"/>
        <rFont val="Times New Roman"/>
        <charset val="0"/>
      </rPr>
      <t>-</t>
    </r>
    <r>
      <rPr>
        <sz val="12"/>
        <rFont val="宋体"/>
        <charset val="134"/>
      </rPr>
      <t>儿童（加收）</t>
    </r>
  </si>
  <si>
    <t>013306020030100</t>
  </si>
  <si>
    <r>
      <rPr>
        <sz val="12"/>
        <rFont val="宋体"/>
        <charset val="134"/>
      </rPr>
      <t>根尖屏障手术费</t>
    </r>
    <r>
      <rPr>
        <sz val="12"/>
        <rFont val="Times New Roman"/>
        <charset val="0"/>
      </rPr>
      <t>-</t>
    </r>
    <r>
      <rPr>
        <sz val="12"/>
        <rFont val="宋体"/>
        <charset val="134"/>
      </rPr>
      <t>髓腔穿孔修补费（扩展）</t>
    </r>
  </si>
  <si>
    <t>013306020040000</t>
  </si>
  <si>
    <t>根尖手术费</t>
  </si>
  <si>
    <t>通过手术对根尖进行治疗。</t>
  </si>
  <si>
    <t>所定价格涵盖手术计划、术区准备、消毒、切开、翻瓣、切除、倒预备、倒充填、复位缝合、处理用物等步骤所需的人力资源和基本物质资源消耗。</t>
  </si>
  <si>
    <t>复杂根尖手术指：根尖周病损累及邻近重要组织结构（上颌窦、颏孔、下颌神经管、切牙孔）、骨壁完整根尖定位困难的情况。</t>
  </si>
  <si>
    <t>013306020040001</t>
  </si>
  <si>
    <r>
      <rPr>
        <sz val="12"/>
        <rFont val="宋体"/>
        <charset val="134"/>
      </rPr>
      <t>根尖手术费</t>
    </r>
    <r>
      <rPr>
        <sz val="12"/>
        <rFont val="Times New Roman"/>
        <charset val="0"/>
      </rPr>
      <t>-</t>
    </r>
    <r>
      <rPr>
        <sz val="12"/>
        <rFont val="宋体"/>
        <charset val="134"/>
      </rPr>
      <t>儿童（加收）</t>
    </r>
  </si>
  <si>
    <t>013306020040011</t>
  </si>
  <si>
    <r>
      <rPr>
        <sz val="12"/>
        <rFont val="宋体"/>
        <charset val="134"/>
      </rPr>
      <t>根尖手术费</t>
    </r>
    <r>
      <rPr>
        <sz val="12"/>
        <rFont val="Times New Roman"/>
        <charset val="0"/>
      </rPr>
      <t>-</t>
    </r>
    <r>
      <rPr>
        <sz val="12"/>
        <rFont val="宋体"/>
        <charset val="134"/>
      </rPr>
      <t>复杂根尖手术（加收）</t>
    </r>
  </si>
  <si>
    <t>013105010100000</t>
  </si>
  <si>
    <t>活髓保存治疗费</t>
  </si>
  <si>
    <t>通过处理暴露牙髓清除感染，保存正常牙髓。</t>
  </si>
  <si>
    <t>所定价格涵盖准备、去除、冲洗、盖髓、处理用物等步骤所需的人力资源和基本物质资源消耗。</t>
  </si>
  <si>
    <t>013105010100001</t>
  </si>
  <si>
    <r>
      <rPr>
        <sz val="12"/>
        <rFont val="宋体"/>
        <charset val="134"/>
      </rPr>
      <t>活髓保存治疗费</t>
    </r>
    <r>
      <rPr>
        <sz val="12"/>
        <rFont val="Times New Roman"/>
        <charset val="0"/>
      </rPr>
      <t>-</t>
    </r>
    <r>
      <rPr>
        <sz val="12"/>
        <rFont val="宋体"/>
        <charset val="134"/>
      </rPr>
      <t>间接盖髓（减收）</t>
    </r>
  </si>
  <si>
    <t>013105010110000</t>
  </si>
  <si>
    <t>牙髓再生治疗费</t>
  </si>
  <si>
    <t>清除根管内感染，借助多种方式促进根管内牙髓样组织再生及牙根生长。</t>
  </si>
  <si>
    <t>所定价格涵盖准备、根管内引血、封闭、处理用物等步骤所需的人力资源和基本物质资源消耗。</t>
  </si>
  <si>
    <t>013105010110001</t>
  </si>
  <si>
    <r>
      <rPr>
        <sz val="12"/>
        <rFont val="宋体"/>
        <charset val="134"/>
      </rPr>
      <t>牙髓再生治疗费</t>
    </r>
    <r>
      <rPr>
        <sz val="12"/>
        <rFont val="Times New Roman"/>
        <charset val="0"/>
      </rPr>
      <t>-</t>
    </r>
    <r>
      <rPr>
        <sz val="12"/>
        <rFont val="宋体"/>
        <charset val="134"/>
      </rPr>
      <t>自体血支架制备（加收）</t>
    </r>
  </si>
  <si>
    <t>013105010120000</t>
  </si>
  <si>
    <t>牙体缺损直接粘接修复费</t>
  </si>
  <si>
    <t>通过使用填充材料修复牙体缺损。</t>
  </si>
  <si>
    <t>所定价格涵盖准备、去龋、窝洞制备、充填、粘接固化、塑形、调合、磨光、抛光、处理用物等步骤所需的人力资源和基本物质资源消耗。</t>
  </si>
  <si>
    <r>
      <rPr>
        <sz val="12"/>
        <rFont val="宋体"/>
        <charset val="134"/>
      </rPr>
      <t>牙体大面积缺损指：累及</t>
    </r>
    <r>
      <rPr>
        <sz val="12"/>
        <rFont val="Times New Roman"/>
        <charset val="0"/>
      </rPr>
      <t>2</t>
    </r>
    <r>
      <rPr>
        <sz val="12"/>
        <rFont val="宋体"/>
        <charset val="134"/>
      </rPr>
      <t>个及以上牙面的情况。</t>
    </r>
  </si>
  <si>
    <t>013105010120001</t>
  </si>
  <si>
    <r>
      <rPr>
        <sz val="12"/>
        <rFont val="宋体"/>
        <charset val="134"/>
      </rPr>
      <t>牙体缺损直接粘接修复费</t>
    </r>
    <r>
      <rPr>
        <sz val="12"/>
        <rFont val="Times New Roman"/>
        <charset val="0"/>
      </rPr>
      <t>-</t>
    </r>
    <r>
      <rPr>
        <sz val="12"/>
        <rFont val="宋体"/>
        <charset val="134"/>
      </rPr>
      <t>儿童（加收）</t>
    </r>
  </si>
  <si>
    <t>013105010120011</t>
  </si>
  <si>
    <r>
      <rPr>
        <sz val="12"/>
        <rFont val="宋体"/>
        <charset val="134"/>
      </rPr>
      <t>牙体缺损直接粘接修复费</t>
    </r>
    <r>
      <rPr>
        <sz val="12"/>
        <rFont val="Times New Roman"/>
        <charset val="0"/>
      </rPr>
      <t>-</t>
    </r>
    <r>
      <rPr>
        <sz val="12"/>
        <rFont val="宋体"/>
        <charset val="134"/>
      </rPr>
      <t>牙体大面积缺损（加收）</t>
    </r>
  </si>
  <si>
    <t>013105010120012</t>
  </si>
  <si>
    <r>
      <rPr>
        <sz val="12"/>
        <rFont val="宋体"/>
        <charset val="134"/>
      </rPr>
      <t>牙体缺损直接粘接修复费</t>
    </r>
    <r>
      <rPr>
        <sz val="12"/>
        <rFont val="Times New Roman"/>
        <charset val="0"/>
      </rPr>
      <t>-</t>
    </r>
    <r>
      <rPr>
        <sz val="12"/>
        <rFont val="宋体"/>
        <charset val="134"/>
      </rPr>
      <t>暂封（减收）</t>
    </r>
  </si>
  <si>
    <t>013105010120013</t>
  </si>
  <si>
    <r>
      <rPr>
        <sz val="12"/>
        <rFont val="宋体"/>
        <charset val="134"/>
      </rPr>
      <t>牙体缺损直接粘接修复费</t>
    </r>
    <r>
      <rPr>
        <sz val="12"/>
        <rFont val="Times New Roman"/>
        <charset val="0"/>
      </rPr>
      <t>-</t>
    </r>
    <r>
      <rPr>
        <sz val="12"/>
        <rFont val="宋体"/>
        <charset val="134"/>
      </rPr>
      <t>银汞合金充填（减收）</t>
    </r>
  </si>
  <si>
    <t>013105010140000</t>
  </si>
  <si>
    <t>窝沟封闭费</t>
  </si>
  <si>
    <t>封闭牙齿窝沟。</t>
  </si>
  <si>
    <t>所定价格涵盖准备、清洁、冲洗、酸蚀、干燥、封闭窝沟、光照固化、调合、抛光、处理用物等步骤所需的人力资源和基本物质资源消耗。</t>
  </si>
  <si>
    <t>013105010150000</t>
  </si>
  <si>
    <t>氟防龋治疗费</t>
  </si>
  <si>
    <t>通过涂布氟化物预防龋齿。</t>
  </si>
  <si>
    <t>所定价格涵盖准备、清洁、涂布、处理用物等步骤所需的人力资源和基本物质资源消耗。</t>
  </si>
  <si>
    <t>013105010160000</t>
  </si>
  <si>
    <t>牙脱敏治疗费</t>
  </si>
  <si>
    <t>通过各种方式处理牙面降低牙敏感症状。</t>
  </si>
  <si>
    <t>所定价格涵盖准备、清洁、脱敏、处理用物等步骤所需的人力资源和基本物质资源消耗。</t>
  </si>
  <si>
    <t>013105010190000</t>
  </si>
  <si>
    <t>预成冠修复费</t>
  </si>
  <si>
    <t>针对大面积牙体缺损进行预成冠修复。</t>
  </si>
  <si>
    <t>所定价格涵盖准备、预备、预成冠调改、粘结、调合、处理用物等步骤所需的人力资源和基本物质资源消耗。</t>
  </si>
  <si>
    <t>013306020050000</t>
  </si>
  <si>
    <t>牙拔除费</t>
  </si>
  <si>
    <t>通过手术拔除牙齿。</t>
  </si>
  <si>
    <t>所定价格涵盖手术计划、术区准备、消毒、分离龈、拔除、取出根、冲洗、清理、止血、处理用物等步骤所需的人力资源和基本物质资源消耗。</t>
  </si>
  <si>
    <r>
      <rPr>
        <sz val="12"/>
        <rFont val="Times New Roman"/>
        <charset val="0"/>
      </rPr>
      <t>1.</t>
    </r>
    <r>
      <rPr>
        <sz val="12"/>
        <rFont val="宋体"/>
        <charset val="134"/>
      </rPr>
      <t>乳牙拔除按</t>
    </r>
    <r>
      <rPr>
        <sz val="12"/>
        <rFont val="Times New Roman"/>
        <charset val="0"/>
      </rPr>
      <t>10%</t>
    </r>
    <r>
      <rPr>
        <sz val="12"/>
        <rFont val="宋体"/>
        <charset val="134"/>
      </rPr>
      <t>收费。</t>
    </r>
    <r>
      <rPr>
        <sz val="12"/>
        <rFont val="Times New Roman"/>
        <charset val="0"/>
      </rPr>
      <t xml:space="preserve">
2.</t>
    </r>
    <r>
      <rPr>
        <sz val="12"/>
        <rFont val="宋体"/>
        <charset val="134"/>
      </rPr>
      <t>复杂牙拔除指：正常位牙齿因解剖变异、死髓或牙体治疗后其脆性增加、局部慢性炎症刺激使牙槽骨发生致密性改变、牙骨间骨性结合的情况。</t>
    </r>
  </si>
  <si>
    <t>013306020050001</t>
  </si>
  <si>
    <r>
      <rPr>
        <sz val="12"/>
        <rFont val="宋体"/>
        <charset val="134"/>
      </rPr>
      <t>牙拔除费</t>
    </r>
    <r>
      <rPr>
        <sz val="12"/>
        <rFont val="Times New Roman"/>
        <charset val="0"/>
      </rPr>
      <t>-</t>
    </r>
    <r>
      <rPr>
        <sz val="12"/>
        <rFont val="宋体"/>
        <charset val="134"/>
      </rPr>
      <t>儿童（加收）</t>
    </r>
  </si>
  <si>
    <t>013306020050011</t>
  </si>
  <si>
    <r>
      <rPr>
        <sz val="12"/>
        <rFont val="宋体"/>
        <charset val="134"/>
      </rPr>
      <t>牙拔除费</t>
    </r>
    <r>
      <rPr>
        <sz val="12"/>
        <rFont val="Times New Roman"/>
        <charset val="0"/>
      </rPr>
      <t>-</t>
    </r>
    <r>
      <rPr>
        <sz val="12"/>
        <rFont val="宋体"/>
        <charset val="134"/>
      </rPr>
      <t>复杂牙拔除（加收）</t>
    </r>
  </si>
  <si>
    <t>复杂牙拔除指：正常位牙齿因解剖变异、死髓或牙体治疗后其脆性增加、局部慢性炎症刺激使牙槽骨发生致密性改变、牙骨间骨性结合的情况。</t>
  </si>
  <si>
    <t>013306020060000</t>
  </si>
  <si>
    <t>阻生牙拔除费</t>
  </si>
  <si>
    <t>通过手术拔除各类萌出智齿或高位阻生牙齿。</t>
  </si>
  <si>
    <t>所定价格涵盖手术计划、术区准备、消毒、翻瓣、分离、分牙、挺松、增隙、拔除、冲洗、清理、缝合、止血、处理用物等步骤所需的人力资源和基本物质资源消耗。</t>
  </si>
  <si>
    <t>复杂阻生牙拔除指：被牙龈覆盖的各类阻生牙、完全埋藏颌骨内的各类阻生牙及多生牙的情况。</t>
  </si>
  <si>
    <t>013306020060001</t>
  </si>
  <si>
    <r>
      <rPr>
        <sz val="12"/>
        <rFont val="宋体"/>
        <charset val="134"/>
      </rPr>
      <t>阻生牙拔除费</t>
    </r>
    <r>
      <rPr>
        <sz val="12"/>
        <rFont val="Times New Roman"/>
        <charset val="0"/>
      </rPr>
      <t>-</t>
    </r>
    <r>
      <rPr>
        <sz val="12"/>
        <rFont val="宋体"/>
        <charset val="134"/>
      </rPr>
      <t>儿童（加收）</t>
    </r>
  </si>
  <si>
    <t>013306020060011</t>
  </si>
  <si>
    <r>
      <rPr>
        <sz val="12"/>
        <rFont val="宋体"/>
        <charset val="134"/>
      </rPr>
      <t>阻生牙拔除费</t>
    </r>
    <r>
      <rPr>
        <sz val="12"/>
        <rFont val="Times New Roman"/>
        <charset val="0"/>
      </rPr>
      <t>-</t>
    </r>
    <r>
      <rPr>
        <sz val="12"/>
        <rFont val="宋体"/>
        <charset val="134"/>
      </rPr>
      <t>复杂阻生牙拔除（加收）</t>
    </r>
  </si>
  <si>
    <t>013306020060100</t>
  </si>
  <si>
    <r>
      <rPr>
        <sz val="12"/>
        <rFont val="宋体"/>
        <charset val="134"/>
      </rPr>
      <t>阻生牙拔除费</t>
    </r>
    <r>
      <rPr>
        <sz val="12"/>
        <rFont val="Times New Roman"/>
        <charset val="0"/>
      </rPr>
      <t>-</t>
    </r>
    <r>
      <rPr>
        <sz val="12"/>
        <rFont val="宋体"/>
        <charset val="134"/>
      </rPr>
      <t>多生牙拔除费（扩展）</t>
    </r>
  </si>
  <si>
    <t>013306020070000</t>
  </si>
  <si>
    <t>阻生牙开窗助萌费</t>
  </si>
  <si>
    <t>通过手术去除阻生牙萌出阻力。</t>
  </si>
  <si>
    <t>所定价格涵盖手术计划、术区准备、消毒、切开、显露牙、冲洗、缝合、止血、处理用物等步骤所需的人力资源和基本物质资源消耗。</t>
  </si>
  <si>
    <t>013306020070001</t>
  </si>
  <si>
    <r>
      <rPr>
        <sz val="12"/>
        <rFont val="宋体"/>
        <charset val="134"/>
      </rPr>
      <t>阻生牙开窗助萌费</t>
    </r>
    <r>
      <rPr>
        <sz val="12"/>
        <rFont val="Times New Roman"/>
        <charset val="0"/>
      </rPr>
      <t>-</t>
    </r>
    <r>
      <rPr>
        <sz val="12"/>
        <rFont val="宋体"/>
        <charset val="134"/>
      </rPr>
      <t>儿童（加收）</t>
    </r>
  </si>
  <si>
    <t>013306020070011</t>
  </si>
  <si>
    <r>
      <rPr>
        <sz val="12"/>
        <rFont val="宋体"/>
        <charset val="134"/>
      </rPr>
      <t>阻生牙开窗助萌费</t>
    </r>
    <r>
      <rPr>
        <sz val="12"/>
        <rFont val="Times New Roman"/>
        <charset val="0"/>
      </rPr>
      <t>-</t>
    </r>
    <r>
      <rPr>
        <sz val="12"/>
        <rFont val="宋体"/>
        <charset val="134"/>
      </rPr>
      <t>骨阻生开窗助萌（加收）</t>
    </r>
  </si>
  <si>
    <t>013306020080000</t>
  </si>
  <si>
    <t>阻生牙牙冠切除费</t>
  </si>
  <si>
    <t>通过手术切除阻生牙牙冠。</t>
  </si>
  <si>
    <t>所定价格涵盖手术计划、术区准备、消毒、切开、分离、去骨、截冠、修整、冲洗、缝合、止血、处理用物等步骤所需的人力资源和基本物质资源消耗。</t>
  </si>
  <si>
    <t>013306020080001</t>
  </si>
  <si>
    <r>
      <rPr>
        <sz val="12"/>
        <rFont val="宋体"/>
        <charset val="134"/>
      </rPr>
      <t>阻生牙牙冠切除费</t>
    </r>
    <r>
      <rPr>
        <sz val="12"/>
        <rFont val="Times New Roman"/>
        <charset val="0"/>
      </rPr>
      <t>-</t>
    </r>
    <r>
      <rPr>
        <sz val="12"/>
        <rFont val="宋体"/>
        <charset val="134"/>
      </rPr>
      <t>儿童（加收）</t>
    </r>
  </si>
  <si>
    <t>013306020090000</t>
  </si>
  <si>
    <t>拔牙创搔刮费</t>
  </si>
  <si>
    <t>通过手术对拔牙创愈合不良的创面进行搔刮、清创处理。</t>
  </si>
  <si>
    <t>所定价格涵盖手术计划、术区准备、消毒、切开翻瓣、分离、刮除、冲洗、填塞、缝合、处理用物等步骤所需的人力资源和基本物质资源消耗。</t>
  </si>
  <si>
    <t>仅限于拔牙创愈合不良情况时收费，其他情况不单独收费。</t>
  </si>
  <si>
    <t>013306020090001</t>
  </si>
  <si>
    <r>
      <rPr>
        <sz val="12"/>
        <rFont val="宋体"/>
        <charset val="134"/>
      </rPr>
      <t>拔牙创搔刮费</t>
    </r>
    <r>
      <rPr>
        <sz val="12"/>
        <rFont val="Times New Roman"/>
        <charset val="0"/>
      </rPr>
      <t>-</t>
    </r>
    <r>
      <rPr>
        <sz val="12"/>
        <rFont val="宋体"/>
        <charset val="134"/>
      </rPr>
      <t>儿童（加收）</t>
    </r>
  </si>
  <si>
    <t>013306020100000</t>
  </si>
  <si>
    <t>阻生牙龈瓣修整费</t>
  </si>
  <si>
    <t>用于保留、开窗助萌阻生牙修整龈瓣形态，预防感染、创口愈合、维持牙龈形态。</t>
  </si>
  <si>
    <t>所定价格涵盖手术计划、术区准备、消毒、修整、成形、缝合、处理用物等步骤所需的人力资源和基本物质资源消耗。</t>
  </si>
  <si>
    <t>013306020100001</t>
  </si>
  <si>
    <r>
      <rPr>
        <sz val="12"/>
        <rFont val="宋体"/>
        <charset val="134"/>
      </rPr>
      <t>阻生牙龈瓣修整费</t>
    </r>
    <r>
      <rPr>
        <sz val="12"/>
        <rFont val="Times New Roman"/>
        <charset val="0"/>
      </rPr>
      <t>-</t>
    </r>
    <r>
      <rPr>
        <sz val="12"/>
        <rFont val="宋体"/>
        <charset val="134"/>
      </rPr>
      <t>儿童（加收）</t>
    </r>
  </si>
  <si>
    <t>013306020110000</t>
  </si>
  <si>
    <t>预防性拔牙窝组织封闭费</t>
  </si>
  <si>
    <t>拔牙后即刻封闭拔牙窝。</t>
  </si>
  <si>
    <t>所定价格涵盖手术计划、术区准备、消毒、修整、打磨、重建血运、修整、减张、封闭、缝合、止血、处理用物等步骤所需的人力资源和基本物质资源消耗。</t>
  </si>
  <si>
    <t>该项目指针对使用抗骨吸收药物、抗血管生成药物、放疗后、骨结构不良、硬化性骨髓炎等牙槽窝愈合不良高危患者，以及拔牙后牙槽嵴保存。</t>
  </si>
  <si>
    <t>013306020110001</t>
  </si>
  <si>
    <r>
      <rPr>
        <sz val="12"/>
        <rFont val="宋体"/>
        <charset val="134"/>
      </rPr>
      <t>预防性拔牙窝组织封闭费</t>
    </r>
    <r>
      <rPr>
        <sz val="12"/>
        <rFont val="Times New Roman"/>
        <charset val="0"/>
      </rPr>
      <t>-</t>
    </r>
    <r>
      <rPr>
        <sz val="12"/>
        <rFont val="宋体"/>
        <charset val="134"/>
      </rPr>
      <t>儿童（加收）</t>
    </r>
  </si>
  <si>
    <t>013306020120000</t>
  </si>
  <si>
    <t>牙移植费</t>
  </si>
  <si>
    <t>通过手术将自体牙植入牙槽窝。</t>
  </si>
  <si>
    <t>所定价格涵盖手术计划、术区准备、消毒、修整、预备、植入、固定、调合、冲洗、缝合、止血、处理用物等步骤所需的人力资源和基本物质资源消耗。不包括供体牙拔除及其他治疗费用。</t>
  </si>
  <si>
    <t>013306020120001</t>
  </si>
  <si>
    <r>
      <rPr>
        <sz val="12"/>
        <rFont val="宋体"/>
        <charset val="134"/>
      </rPr>
      <t>牙移植费</t>
    </r>
    <r>
      <rPr>
        <sz val="12"/>
        <rFont val="Times New Roman"/>
        <charset val="0"/>
      </rPr>
      <t>-</t>
    </r>
    <r>
      <rPr>
        <sz val="12"/>
        <rFont val="宋体"/>
        <charset val="134"/>
      </rPr>
      <t>儿童（加收）</t>
    </r>
  </si>
  <si>
    <t>013306020120100</t>
  </si>
  <si>
    <r>
      <rPr>
        <sz val="12"/>
        <rFont val="宋体"/>
        <charset val="134"/>
      </rPr>
      <t>牙移植费</t>
    </r>
    <r>
      <rPr>
        <sz val="12"/>
        <rFont val="Times New Roman"/>
        <charset val="0"/>
      </rPr>
      <t>-</t>
    </r>
    <r>
      <rPr>
        <sz val="12"/>
        <rFont val="宋体"/>
        <charset val="134"/>
      </rPr>
      <t>牙再植费（扩展）</t>
    </r>
  </si>
  <si>
    <t>013306020130000</t>
  </si>
  <si>
    <t>口腔良性肿物切除费</t>
  </si>
  <si>
    <t>通过手术切除口腔内的良性肿物。</t>
  </si>
  <si>
    <t>所定价格涵盖手术计划、术区准备、消毒、切开、解剖、分离、探查切除、冲洗、止血、缝合、处理用物等步骤所需的人力资源和基本物质资源消耗。</t>
  </si>
  <si>
    <t>病灶</t>
  </si>
  <si>
    <t>013306020130001</t>
  </si>
  <si>
    <r>
      <rPr>
        <sz val="12"/>
        <rFont val="宋体"/>
        <charset val="134"/>
      </rPr>
      <t>口腔良性肿物切除费</t>
    </r>
    <r>
      <rPr>
        <sz val="12"/>
        <rFont val="Times New Roman"/>
        <charset val="0"/>
      </rPr>
      <t>-</t>
    </r>
    <r>
      <rPr>
        <sz val="12"/>
        <rFont val="宋体"/>
        <charset val="134"/>
      </rPr>
      <t>儿童（加收）</t>
    </r>
  </si>
  <si>
    <t>013306020130011</t>
  </si>
  <si>
    <r>
      <rPr>
        <sz val="12"/>
        <rFont val="宋体"/>
        <charset val="134"/>
      </rPr>
      <t>口腔良性肿物切除费</t>
    </r>
    <r>
      <rPr>
        <sz val="12"/>
        <rFont val="Times New Roman"/>
        <charset val="0"/>
      </rPr>
      <t>-</t>
    </r>
    <r>
      <rPr>
        <sz val="12"/>
        <rFont val="宋体"/>
        <charset val="134"/>
      </rPr>
      <t>软组织缺损修复（加收）</t>
    </r>
  </si>
  <si>
    <t>013306020140000</t>
  </si>
  <si>
    <t>口腔系带修整费</t>
  </si>
  <si>
    <t>通过手术调整口腔系带。</t>
  </si>
  <si>
    <t>所定价格涵盖手术计划、术区准备、消毒、切开、修整、缝合、处理用物等步骤所需的人力资源和基本物质资源消耗。</t>
  </si>
  <si>
    <t>013306020140001</t>
  </si>
  <si>
    <r>
      <rPr>
        <sz val="12"/>
        <rFont val="宋体"/>
        <charset val="134"/>
      </rPr>
      <t>口腔系带修整费</t>
    </r>
    <r>
      <rPr>
        <sz val="12"/>
        <rFont val="Times New Roman"/>
        <charset val="0"/>
      </rPr>
      <t>-</t>
    </r>
    <r>
      <rPr>
        <sz val="12"/>
        <rFont val="宋体"/>
        <charset val="134"/>
      </rPr>
      <t>儿童（加收）</t>
    </r>
  </si>
  <si>
    <t>013306020150000</t>
  </si>
  <si>
    <t>颌骨病变刮切费（口内）</t>
  </si>
  <si>
    <t>口内入路治疗颌骨内的良性病变。</t>
  </si>
  <si>
    <t>所定价格涵盖手术计划、术区准备、消毒、切开、翻瓣、去骨、切除或刮切、化学烧灼、止血、冲洗、骨修整、缝合等操作所需的人力资源和基本物质资源消耗。</t>
  </si>
  <si>
    <t>013306020150001</t>
  </si>
  <si>
    <r>
      <rPr>
        <sz val="12"/>
        <rFont val="宋体"/>
        <charset val="134"/>
      </rPr>
      <t>颌骨病变刮切费（口内）</t>
    </r>
    <r>
      <rPr>
        <sz val="12"/>
        <rFont val="Times New Roman"/>
        <charset val="0"/>
      </rPr>
      <t>-</t>
    </r>
    <r>
      <rPr>
        <sz val="12"/>
        <rFont val="宋体"/>
        <charset val="134"/>
      </rPr>
      <t>儿童（加收）</t>
    </r>
  </si>
  <si>
    <t>013306020160000</t>
  </si>
  <si>
    <t>颌骨病变刮切费（颌面部）</t>
  </si>
  <si>
    <t>口外入路治疗颌骨内的良性病变。</t>
  </si>
  <si>
    <t>013306020160001</t>
  </si>
  <si>
    <r>
      <rPr>
        <sz val="12"/>
        <rFont val="宋体"/>
        <charset val="134"/>
      </rPr>
      <t>颌骨病变刮切费（颌面部）</t>
    </r>
    <r>
      <rPr>
        <sz val="12"/>
        <rFont val="Times New Roman"/>
        <charset val="0"/>
      </rPr>
      <t>-</t>
    </r>
    <r>
      <rPr>
        <sz val="12"/>
        <rFont val="宋体"/>
        <charset val="134"/>
      </rPr>
      <t>儿童（加收）</t>
    </r>
  </si>
  <si>
    <t>013306020170000</t>
  </si>
  <si>
    <t>颌骨囊肿减压费</t>
  </si>
  <si>
    <t>通过手术开窗对颌骨囊肿减压。</t>
  </si>
  <si>
    <t>所定价格涵盖手术计划、术区准备、消毒、切开、翻瓣、去骨壁、冲洗、缝合、处理用物等步骤所需的人力资源和基本物质资源消耗。不包含拔牙费用。</t>
  </si>
  <si>
    <t>013306020170001</t>
  </si>
  <si>
    <r>
      <rPr>
        <sz val="12"/>
        <rFont val="宋体"/>
        <charset val="134"/>
      </rPr>
      <t>颌骨囊肿减压费</t>
    </r>
    <r>
      <rPr>
        <sz val="12"/>
        <rFont val="Times New Roman"/>
        <charset val="0"/>
      </rPr>
      <t>-</t>
    </r>
    <r>
      <rPr>
        <sz val="12"/>
        <rFont val="宋体"/>
        <charset val="134"/>
      </rPr>
      <t>儿童（加收）</t>
    </r>
  </si>
  <si>
    <t>013306020180000</t>
  </si>
  <si>
    <t>口腔牵引钉植入费</t>
  </si>
  <si>
    <t>将牵引钉植入颌骨。</t>
  </si>
  <si>
    <r>
      <rPr>
        <sz val="12"/>
        <rFont val="Times New Roman"/>
        <charset val="0"/>
      </rPr>
      <t>“</t>
    </r>
    <r>
      <rPr>
        <sz val="12"/>
        <rFont val="宋体"/>
        <charset val="134"/>
      </rPr>
      <t>次</t>
    </r>
    <r>
      <rPr>
        <sz val="12"/>
        <rFont val="Times New Roman"/>
        <charset val="0"/>
      </rPr>
      <t>”</t>
    </r>
    <r>
      <rPr>
        <sz val="12"/>
        <rFont val="宋体"/>
        <charset val="134"/>
      </rPr>
      <t>以</t>
    </r>
    <r>
      <rPr>
        <sz val="12"/>
        <rFont val="Times New Roman"/>
        <charset val="0"/>
      </rPr>
      <t>3</t>
    </r>
    <r>
      <rPr>
        <sz val="12"/>
        <rFont val="宋体"/>
        <charset val="134"/>
      </rPr>
      <t>枚牵引钉为基础收费，每增加</t>
    </r>
    <r>
      <rPr>
        <sz val="12"/>
        <rFont val="Times New Roman"/>
        <charset val="0"/>
      </rPr>
      <t>1</t>
    </r>
    <r>
      <rPr>
        <sz val="12"/>
        <rFont val="宋体"/>
        <charset val="134"/>
      </rPr>
      <t>枚加收</t>
    </r>
    <r>
      <rPr>
        <sz val="12"/>
        <rFont val="Times New Roman"/>
        <charset val="0"/>
      </rPr>
      <t>30%</t>
    </r>
    <r>
      <rPr>
        <sz val="12"/>
        <rFont val="宋体"/>
        <charset val="134"/>
      </rPr>
      <t>，以</t>
    </r>
    <r>
      <rPr>
        <sz val="12"/>
        <rFont val="Times New Roman"/>
        <charset val="0"/>
      </rPr>
      <t>10</t>
    </r>
    <r>
      <rPr>
        <sz val="12"/>
        <rFont val="宋体"/>
        <charset val="134"/>
      </rPr>
      <t>枚牵引钉费用封顶。</t>
    </r>
  </si>
  <si>
    <t>013306020180001</t>
  </si>
  <si>
    <r>
      <rPr>
        <sz val="12"/>
        <rFont val="宋体"/>
        <charset val="134"/>
      </rPr>
      <t>口腔牵引钉植入费</t>
    </r>
    <r>
      <rPr>
        <sz val="12"/>
        <rFont val="Times New Roman"/>
        <charset val="0"/>
      </rPr>
      <t>-</t>
    </r>
    <r>
      <rPr>
        <sz val="12"/>
        <rFont val="宋体"/>
        <charset val="134"/>
      </rPr>
      <t>儿童（加收）</t>
    </r>
  </si>
  <si>
    <t>013306020190000</t>
  </si>
  <si>
    <t>口腔牵引钉取出费</t>
  </si>
  <si>
    <t>将植入的牵引钉取出。</t>
  </si>
  <si>
    <t>所定价格涵盖手术计划、术区准备、消毒、拆除、缝合、处理用物等步骤所需的人力资源和基本物质资源消耗。</t>
  </si>
  <si>
    <t>013306020190001</t>
  </si>
  <si>
    <r>
      <rPr>
        <sz val="12"/>
        <rFont val="宋体"/>
        <charset val="134"/>
      </rPr>
      <t>口腔牵引钉取出费</t>
    </r>
    <r>
      <rPr>
        <sz val="12"/>
        <rFont val="Times New Roman"/>
        <charset val="0"/>
      </rPr>
      <t>-</t>
    </r>
    <r>
      <rPr>
        <sz val="12"/>
        <rFont val="宋体"/>
        <charset val="134"/>
      </rPr>
      <t>儿童（加收）</t>
    </r>
  </si>
  <si>
    <t>013306020200000</t>
  </si>
  <si>
    <t>口腔骨突修整费</t>
  </si>
  <si>
    <t>修整骨尖、骨嵴或骨隆突。</t>
  </si>
  <si>
    <t>所定价格涵盖手术计划、术区准备、消毒、切开、去骨、打磨、冲洗、缝合、处理用物等步骤所需的人力资源和基本物质资源消耗。</t>
  </si>
  <si>
    <t>复杂骨突指：一侧上颌结节、下颌舌侧隆突修整、腭部隆突的情况。</t>
  </si>
  <si>
    <t>013306020200001</t>
  </si>
  <si>
    <r>
      <rPr>
        <sz val="12"/>
        <rFont val="宋体"/>
        <charset val="134"/>
      </rPr>
      <t>口腔骨突修整费</t>
    </r>
    <r>
      <rPr>
        <sz val="12"/>
        <rFont val="Times New Roman"/>
        <charset val="0"/>
      </rPr>
      <t>-</t>
    </r>
    <r>
      <rPr>
        <sz val="12"/>
        <rFont val="宋体"/>
        <charset val="134"/>
      </rPr>
      <t>儿童（加收）</t>
    </r>
  </si>
  <si>
    <t>013306020200011</t>
  </si>
  <si>
    <r>
      <rPr>
        <sz val="12"/>
        <rFont val="宋体"/>
        <charset val="134"/>
      </rPr>
      <t>口腔骨突修整费</t>
    </r>
    <r>
      <rPr>
        <sz val="12"/>
        <rFont val="Times New Roman"/>
        <charset val="0"/>
      </rPr>
      <t>-</t>
    </r>
    <r>
      <rPr>
        <sz val="12"/>
        <rFont val="宋体"/>
        <charset val="134"/>
      </rPr>
      <t>复杂骨突（加收）</t>
    </r>
  </si>
  <si>
    <t>013105010200000</t>
  </si>
  <si>
    <t>颌间结扎费</t>
  </si>
  <si>
    <t>通过各种方式将上下颌骨间结扎。</t>
  </si>
  <si>
    <t>所定价格涵盖准备、手法复位、固定、结扎、处理用物等步骤所需的人力资源和基本物质资源消耗。不包含牵引钉植入、安装固定装置等。</t>
  </si>
  <si>
    <t>013105010200001</t>
  </si>
  <si>
    <r>
      <rPr>
        <sz val="12"/>
        <rFont val="宋体"/>
        <charset val="134"/>
      </rPr>
      <t>颌间结扎费</t>
    </r>
    <r>
      <rPr>
        <sz val="12"/>
        <rFont val="Times New Roman"/>
        <charset val="0"/>
      </rPr>
      <t>-</t>
    </r>
    <r>
      <rPr>
        <sz val="12"/>
        <rFont val="宋体"/>
        <charset val="134"/>
      </rPr>
      <t>儿童（加收）</t>
    </r>
  </si>
  <si>
    <t>013105010210000</t>
  </si>
  <si>
    <t>颌间结扎拆除费</t>
  </si>
  <si>
    <t>拆除颌间结扎装置。</t>
  </si>
  <si>
    <t>013105010210001</t>
  </si>
  <si>
    <r>
      <rPr>
        <sz val="12"/>
        <rFont val="宋体"/>
        <charset val="134"/>
      </rPr>
      <t>颌间结扎拆除费</t>
    </r>
    <r>
      <rPr>
        <sz val="12"/>
        <rFont val="Times New Roman"/>
        <charset val="0"/>
      </rPr>
      <t>-</t>
    </r>
    <r>
      <rPr>
        <sz val="12"/>
        <rFont val="宋体"/>
        <charset val="134"/>
      </rPr>
      <t>儿童（加收）</t>
    </r>
  </si>
  <si>
    <t>013306020210000</t>
  </si>
  <si>
    <t>牙槽突骨折复位固定费</t>
  </si>
  <si>
    <t>通过手术对上下颌牙槽突骨折进行复位固定。</t>
  </si>
  <si>
    <t>所定价格涵盖手术计划、术区准备、消毒、经口内入路清创、复位、固定、冲洗、缝合、处理用物等步骤所需的人力资源和基本物质资源消耗。</t>
  </si>
  <si>
    <t>013306020210001</t>
  </si>
  <si>
    <r>
      <rPr>
        <sz val="12"/>
        <rFont val="宋体"/>
        <charset val="134"/>
      </rPr>
      <t>牙槽突骨折复位固定费</t>
    </r>
    <r>
      <rPr>
        <sz val="12"/>
        <rFont val="Times New Roman"/>
        <charset val="0"/>
      </rPr>
      <t>-</t>
    </r>
    <r>
      <rPr>
        <sz val="12"/>
        <rFont val="宋体"/>
        <charset val="134"/>
      </rPr>
      <t>儿童（加收）</t>
    </r>
  </si>
  <si>
    <t>013306020220000</t>
  </si>
  <si>
    <t>脓肿切开引流费（口内）</t>
  </si>
  <si>
    <t>切开口内浅表脓肿引流。</t>
  </si>
  <si>
    <t>所定价格涵盖手术计划、术区准备、消毒、切开、引流、冲洗、处理用物等步骤所需的人力资源和基本物质资源消耗。</t>
  </si>
  <si>
    <t>013306020220001</t>
  </si>
  <si>
    <r>
      <rPr>
        <sz val="12"/>
        <rFont val="宋体"/>
        <charset val="134"/>
      </rPr>
      <t>脓肿切开引流费（口内）</t>
    </r>
    <r>
      <rPr>
        <sz val="12"/>
        <rFont val="Times New Roman"/>
        <charset val="0"/>
      </rPr>
      <t>-</t>
    </r>
    <r>
      <rPr>
        <sz val="12"/>
        <rFont val="宋体"/>
        <charset val="134"/>
      </rPr>
      <t>儿童（加收）</t>
    </r>
  </si>
  <si>
    <r>
      <rPr>
        <sz val="12"/>
        <rFont val="Times New Roman"/>
        <charset val="0"/>
      </rPr>
      <t xml:space="preserve"> </t>
    </r>
    <r>
      <rPr>
        <sz val="12"/>
        <rFont val="宋体"/>
        <charset val="134"/>
      </rPr>
      <t>次</t>
    </r>
  </si>
  <si>
    <t>013306020230000</t>
  </si>
  <si>
    <t>脓肿切开引流费（颌面部）</t>
  </si>
  <si>
    <t>切开颌面部浅表脓肿引流。</t>
  </si>
  <si>
    <t>所定价格涵盖手术计划、术区准备、消毒、切开、引流、冲洗、处理用物等步骤所需的人力资源和基本物质资源消耗。不包含口腔颌面颈部间隙感染。</t>
  </si>
  <si>
    <t>013306020230001</t>
  </si>
  <si>
    <r>
      <rPr>
        <sz val="12"/>
        <rFont val="宋体"/>
        <charset val="134"/>
      </rPr>
      <t>脓肿切开引流费（颌面部）</t>
    </r>
    <r>
      <rPr>
        <sz val="12"/>
        <rFont val="Times New Roman"/>
        <charset val="0"/>
      </rPr>
      <t>-</t>
    </r>
    <r>
      <rPr>
        <sz val="12"/>
        <rFont val="宋体"/>
        <charset val="134"/>
      </rPr>
      <t>儿童（加收）</t>
    </r>
  </si>
  <si>
    <t>013306020240000</t>
  </si>
  <si>
    <t>下牙槽神经探查解剖费</t>
  </si>
  <si>
    <t>通过手术探查解剖下颌管内的下牙槽神经血管束，或利于种植手术。</t>
  </si>
  <si>
    <t>所定价格涵盖手术计划、术区准备、消毒、切开、翻瓣、截骨、探查或牵出、复位、覆盖生物膜、缝合、处理用物等步骤所需的人力资源和基本物质资源消耗。不含种植体植入。</t>
  </si>
  <si>
    <t>013306020240001</t>
  </si>
  <si>
    <r>
      <rPr>
        <sz val="12"/>
        <rFont val="宋体"/>
        <charset val="134"/>
      </rPr>
      <t>下牙槽神经探查解剖费</t>
    </r>
    <r>
      <rPr>
        <sz val="12"/>
        <rFont val="Times New Roman"/>
        <charset val="0"/>
      </rPr>
      <t>-</t>
    </r>
    <r>
      <rPr>
        <sz val="12"/>
        <rFont val="宋体"/>
        <charset val="134"/>
      </rPr>
      <t>儿童（加收）</t>
    </r>
  </si>
  <si>
    <t>013306020240011</t>
  </si>
  <si>
    <r>
      <rPr>
        <sz val="12"/>
        <rFont val="宋体"/>
        <charset val="134"/>
      </rPr>
      <t>下牙槽神经探查解剖费</t>
    </r>
    <r>
      <rPr>
        <sz val="12"/>
        <rFont val="Times New Roman"/>
        <charset val="0"/>
      </rPr>
      <t>-</t>
    </r>
    <r>
      <rPr>
        <sz val="12"/>
        <rFont val="宋体"/>
        <charset val="134"/>
      </rPr>
      <t>下牙槽神经移位（加收）</t>
    </r>
  </si>
  <si>
    <t>013306020250000</t>
  </si>
  <si>
    <t>口腔上颌窦瘘修补费</t>
  </si>
  <si>
    <t>通过手术修补口腔上颌窦交通或口腔上颌窦瘘。</t>
  </si>
  <si>
    <t>所定价格涵盖手术计划、术区准备、消毒、切开、切除、清创搔刮、分离、去骨、减张、修整、冲洗、止血、填塞、缝合、处理用物等步骤所需的人力资源和基本物质资源消耗。</t>
  </si>
  <si>
    <t>013306020250001</t>
  </si>
  <si>
    <r>
      <rPr>
        <sz val="12"/>
        <rFont val="宋体"/>
        <charset val="134"/>
      </rPr>
      <t>口腔上颌窦瘘修补费</t>
    </r>
    <r>
      <rPr>
        <sz val="12"/>
        <rFont val="Times New Roman"/>
        <charset val="0"/>
      </rPr>
      <t>-</t>
    </r>
    <r>
      <rPr>
        <sz val="12"/>
        <rFont val="宋体"/>
        <charset val="134"/>
      </rPr>
      <t>儿童（加收）</t>
    </r>
  </si>
  <si>
    <t>013306020260000</t>
  </si>
  <si>
    <t>口内游离软组织移植费</t>
  </si>
  <si>
    <t>通过手术移植局部游离软组织。</t>
  </si>
  <si>
    <t>所定价格涵盖手术计划、术区准备、消毒、切开、翻瓣、制备、固定、缝合及处置、处理用物等步骤所需的人力资源和基本物质资源消耗。</t>
  </si>
  <si>
    <t>牙位</t>
  </si>
  <si>
    <t>013306020260001</t>
  </si>
  <si>
    <r>
      <rPr>
        <sz val="12"/>
        <rFont val="宋体"/>
        <charset val="134"/>
      </rPr>
      <t>口内游离软组织移植费</t>
    </r>
    <r>
      <rPr>
        <sz val="12"/>
        <rFont val="Times New Roman"/>
        <charset val="0"/>
      </rPr>
      <t>-</t>
    </r>
    <r>
      <rPr>
        <sz val="12"/>
        <rFont val="宋体"/>
        <charset val="134"/>
      </rPr>
      <t>儿童（加收）</t>
    </r>
  </si>
  <si>
    <t>012406000020000</t>
  </si>
  <si>
    <t>颌位转移检查费</t>
  </si>
  <si>
    <t>通过装置确定和转移颌位关系，对颌位关系进行检查和评价。</t>
  </si>
  <si>
    <t>所定价格涵盖准备、检查、颌位确定、颌位转移、建立牙合架、重建颌位关系、美学分析、牙齿排列分析、咬合关系分析、颌位分析、处理用物等步骤所需的人力资源和基本物质资源消耗。</t>
  </si>
  <si>
    <t>013105170050000</t>
  </si>
  <si>
    <t>临时固定修复费</t>
  </si>
  <si>
    <t>在口内制作临时修复体。</t>
  </si>
  <si>
    <t>所定价格涵盖准备、预备、制作、试戴、咬合检查、调整、抛光、清洁消毒、粘接、处理用物等步骤所需的人力资源和基本物质资源消耗。</t>
  </si>
  <si>
    <t>013105170060000</t>
  </si>
  <si>
    <t>修复体固定修复费</t>
  </si>
  <si>
    <t>通过固定修复体完成牙体缺损或牙列缺损修复。</t>
  </si>
  <si>
    <t>所定价格涵盖准备、预备、取印模和模型制备、取咬合关系、比色、试戴、调改、粘固、处理用物等步骤所需的人力资源和基本物质资源消耗。</t>
  </si>
  <si>
    <r>
      <rPr>
        <sz val="12"/>
        <rFont val="宋体"/>
        <charset val="134"/>
      </rPr>
      <t>复杂修复体固定修复指：</t>
    </r>
    <r>
      <rPr>
        <sz val="12"/>
        <rFont val="Times New Roman"/>
        <charset val="0"/>
      </rPr>
      <t>II</t>
    </r>
    <r>
      <rPr>
        <sz val="12"/>
        <rFont val="宋体"/>
        <charset val="134"/>
      </rPr>
      <t>度及以上深覆牙合、中重度异色牙、固定修复牙位</t>
    </r>
    <r>
      <rPr>
        <sz val="12"/>
        <rFont val="Times New Roman"/>
        <charset val="0"/>
      </rPr>
      <t>4</t>
    </r>
    <r>
      <rPr>
        <sz val="12"/>
        <rFont val="宋体"/>
        <charset val="134"/>
      </rPr>
      <t>颗及以上、牙槽骨重度吸收（大于根长</t>
    </r>
    <r>
      <rPr>
        <sz val="12"/>
        <rFont val="Times New Roman"/>
        <charset val="0"/>
      </rPr>
      <t>1/3</t>
    </r>
    <r>
      <rPr>
        <sz val="12"/>
        <rFont val="宋体"/>
        <charset val="134"/>
      </rPr>
      <t>）、伴颞下颌关节病、冠短（至少一面低于</t>
    </r>
    <r>
      <rPr>
        <sz val="12"/>
        <rFont val="Times New Roman"/>
        <charset val="0"/>
      </rPr>
      <t>5mm</t>
    </r>
    <r>
      <rPr>
        <sz val="12"/>
        <rFont val="宋体"/>
        <charset val="134"/>
      </rPr>
      <t>）的情况。</t>
    </r>
  </si>
  <si>
    <t>013105170060001</t>
  </si>
  <si>
    <r>
      <rPr>
        <sz val="12"/>
        <rFont val="宋体"/>
        <charset val="134"/>
      </rPr>
      <t>修复体固定修复费</t>
    </r>
    <r>
      <rPr>
        <sz val="12"/>
        <rFont val="Times New Roman"/>
        <charset val="0"/>
      </rPr>
      <t>-</t>
    </r>
    <r>
      <rPr>
        <sz val="12"/>
        <rFont val="宋体"/>
        <charset val="134"/>
      </rPr>
      <t>即刻修复（加收）</t>
    </r>
  </si>
  <si>
    <t>013105170060011</t>
  </si>
  <si>
    <r>
      <rPr>
        <sz val="12"/>
        <rFont val="宋体"/>
        <charset val="134"/>
      </rPr>
      <t>修复体固定修复费</t>
    </r>
    <r>
      <rPr>
        <sz val="12"/>
        <rFont val="Times New Roman"/>
        <charset val="0"/>
      </rPr>
      <t>-</t>
    </r>
    <r>
      <rPr>
        <sz val="12"/>
        <rFont val="宋体"/>
        <charset val="134"/>
      </rPr>
      <t>复杂修复体固定修复（加收）</t>
    </r>
  </si>
  <si>
    <t>013105170070000</t>
  </si>
  <si>
    <t>桩核修复费</t>
  </si>
  <si>
    <t>通过桩核修复牙体缺损。</t>
  </si>
  <si>
    <t>所定价格涵盖准备、预备、清理、预备、试戴、消毒、塑核或粘固、桩核修整、处理用物等步骤所需的人力资源和基本物质资源消耗。</t>
  </si>
  <si>
    <t>013105170070001</t>
  </si>
  <si>
    <r>
      <rPr>
        <sz val="12"/>
        <rFont val="宋体"/>
        <charset val="134"/>
      </rPr>
      <t>桩核修复费</t>
    </r>
    <r>
      <rPr>
        <sz val="12"/>
        <rFont val="Times New Roman"/>
        <charset val="0"/>
      </rPr>
      <t>-</t>
    </r>
    <r>
      <rPr>
        <sz val="12"/>
        <rFont val="宋体"/>
        <charset val="134"/>
      </rPr>
      <t>一体化纤维桩核（加收）</t>
    </r>
  </si>
  <si>
    <t>013105170080000</t>
  </si>
  <si>
    <t>附着体修复费</t>
  </si>
  <si>
    <t>通过附着体完成固定活动联合修复中的固定修复部分。</t>
  </si>
  <si>
    <t>所定价格涵盖准备、预备、清理、预备、消毒、取印模、模型制备、比色、试戴、调改、粘固、处理用物等步骤所需的人力资源和基本物质资源消耗。</t>
  </si>
  <si>
    <t>013105170080100</t>
  </si>
  <si>
    <r>
      <rPr>
        <sz val="12"/>
        <rFont val="宋体"/>
        <charset val="134"/>
      </rPr>
      <t>附着体修复费</t>
    </r>
    <r>
      <rPr>
        <sz val="12"/>
        <rFont val="Times New Roman"/>
        <charset val="0"/>
      </rPr>
      <t>-</t>
    </r>
    <r>
      <rPr>
        <sz val="12"/>
        <rFont val="宋体"/>
        <charset val="134"/>
      </rPr>
      <t>套筒冠修复费（扩展）</t>
    </r>
  </si>
  <si>
    <t>013105170090000</t>
  </si>
  <si>
    <t>全口义齿修复费</t>
  </si>
  <si>
    <t>通过全口义齿修复牙列缺失。</t>
  </si>
  <si>
    <t>所定价格涵盖准备、取印模、制备、确定颌位关系、试排牙蜡型、试戴、调改、处理用物等步骤所需的人力资源和基本物质资源消耗。</t>
  </si>
  <si>
    <r>
      <rPr>
        <sz val="12"/>
        <rFont val="宋体"/>
        <charset val="134"/>
      </rPr>
      <t>复杂全口义齿修复指：牙槽骨重度吸收（</t>
    </r>
    <r>
      <rPr>
        <sz val="12"/>
        <rFont val="Times New Roman"/>
        <charset val="0"/>
      </rPr>
      <t>II-IV</t>
    </r>
    <r>
      <rPr>
        <sz val="12"/>
        <rFont val="宋体"/>
        <charset val="134"/>
      </rPr>
      <t>级）、伴颞下颌关节病、覆盖义齿的情况。</t>
    </r>
  </si>
  <si>
    <t>013105170090001</t>
  </si>
  <si>
    <r>
      <rPr>
        <sz val="12"/>
        <rFont val="宋体"/>
        <charset val="134"/>
      </rPr>
      <t>全口义齿修复费</t>
    </r>
    <r>
      <rPr>
        <sz val="12"/>
        <rFont val="Times New Roman"/>
        <charset val="0"/>
      </rPr>
      <t>-</t>
    </r>
    <r>
      <rPr>
        <sz val="12"/>
        <rFont val="宋体"/>
        <charset val="134"/>
      </rPr>
      <t>复杂全口义齿修复（加收）</t>
    </r>
  </si>
  <si>
    <t>013105170100000</t>
  </si>
  <si>
    <t>胶连可摘局部义齿修复费</t>
  </si>
  <si>
    <t>通过胶连可摘局部义齿修复牙列缺损。</t>
  </si>
  <si>
    <t>所定价格涵盖准备、预备、取印模、制备、确定颌位关系、试戴、调改、处理用物等步骤所需的人力资源和基本物质资源消耗。</t>
  </si>
  <si>
    <t>附加牙合垫按牙位计价收费。</t>
  </si>
  <si>
    <t>013105170110000</t>
  </si>
  <si>
    <t>铸造支架可摘局部义齿修复费</t>
  </si>
  <si>
    <t>通过铸造支架可摘局部义齿修复牙列缺损。</t>
  </si>
  <si>
    <t>所定价格涵盖准备、预备、取印模、制备、试戴、确定颌位关系、试排牙蜡型、调改、处理用物等步骤所需的人力资源和基本物质资源消耗。</t>
  </si>
  <si>
    <r>
      <rPr>
        <sz val="12"/>
        <rFont val="Times New Roman"/>
        <charset val="0"/>
      </rPr>
      <t>1.</t>
    </r>
    <r>
      <rPr>
        <sz val="12"/>
        <rFont val="宋体"/>
        <charset val="134"/>
      </rPr>
      <t>复杂铸造支架可摘局部义齿修复指：单颌缺失牙</t>
    </r>
    <r>
      <rPr>
        <sz val="12"/>
        <rFont val="Times New Roman"/>
        <charset val="0"/>
      </rPr>
      <t>10</t>
    </r>
    <r>
      <rPr>
        <sz val="12"/>
        <rFont val="宋体"/>
        <charset val="134"/>
      </rPr>
      <t>颗及以上、牙槽骨重度吸收（</t>
    </r>
    <r>
      <rPr>
        <sz val="12"/>
        <rFont val="Times New Roman"/>
        <charset val="0"/>
      </rPr>
      <t>II-IV</t>
    </r>
    <r>
      <rPr>
        <sz val="12"/>
        <rFont val="宋体"/>
        <charset val="134"/>
      </rPr>
      <t>级）、</t>
    </r>
    <r>
      <rPr>
        <sz val="12"/>
        <rFont val="Times New Roman"/>
        <charset val="0"/>
      </rPr>
      <t>II</t>
    </r>
    <r>
      <rPr>
        <sz val="12"/>
        <rFont val="宋体"/>
        <charset val="134"/>
      </rPr>
      <t>度及以上深覆合、余留牙存在中重度牙周病（牙槽骨吸收大于</t>
    </r>
    <r>
      <rPr>
        <sz val="12"/>
        <rFont val="Times New Roman"/>
        <charset val="0"/>
      </rPr>
      <t>1/3</t>
    </r>
    <r>
      <rPr>
        <sz val="12"/>
        <rFont val="宋体"/>
        <charset val="134"/>
      </rPr>
      <t>的牙齿数目占一半以上）、关节盘移位或骨关节病、牙周夹板的情况。</t>
    </r>
    <r>
      <rPr>
        <sz val="12"/>
        <rFont val="Times New Roman"/>
        <charset val="0"/>
      </rPr>
      <t xml:space="preserve">
2.</t>
    </r>
    <r>
      <rPr>
        <sz val="12"/>
        <rFont val="宋体"/>
        <charset val="134"/>
      </rPr>
      <t>附加牙合垫或牙周夹板按牙位计价收费。</t>
    </r>
  </si>
  <si>
    <t>013105170110001</t>
  </si>
  <si>
    <r>
      <rPr>
        <sz val="12"/>
        <rFont val="宋体"/>
        <charset val="134"/>
      </rPr>
      <t>铸造支架可摘局部义齿修复费</t>
    </r>
    <r>
      <rPr>
        <sz val="12"/>
        <rFont val="Times New Roman"/>
        <charset val="0"/>
      </rPr>
      <t>-</t>
    </r>
    <r>
      <rPr>
        <sz val="12"/>
        <rFont val="宋体"/>
        <charset val="134"/>
      </rPr>
      <t>复杂铸造支架可摘局部义齿修复（加收）</t>
    </r>
  </si>
  <si>
    <t>013105170120000</t>
  </si>
  <si>
    <r>
      <rPr>
        <sz val="12"/>
        <rFont val="宋体"/>
        <charset val="134"/>
      </rPr>
      <t>颌骨</t>
    </r>
    <r>
      <rPr>
        <sz val="12"/>
        <rFont val="Times New Roman"/>
        <charset val="0"/>
      </rPr>
      <t>/</t>
    </r>
    <r>
      <rPr>
        <sz val="12"/>
        <rFont val="宋体"/>
        <charset val="134"/>
      </rPr>
      <t>腭部缺损赝复体修复费（常规）</t>
    </r>
  </si>
  <si>
    <r>
      <rPr>
        <sz val="12"/>
        <rFont val="宋体"/>
        <charset val="134"/>
      </rPr>
      <t>通过赝复体修复颌骨</t>
    </r>
    <r>
      <rPr>
        <sz val="12"/>
        <rFont val="Times New Roman"/>
        <charset val="0"/>
      </rPr>
      <t>/</t>
    </r>
    <r>
      <rPr>
        <sz val="12"/>
        <rFont val="宋体"/>
        <charset val="134"/>
      </rPr>
      <t>软腭缺损。</t>
    </r>
  </si>
  <si>
    <t>所定价格涵盖准备、预备、取印模、制备、试戴、取颌位记录、调改、处理用物等步骤所需的人力资源和基本物质资源消耗。</t>
  </si>
  <si>
    <t>每件</t>
  </si>
  <si>
    <t>013105170130000</t>
  </si>
  <si>
    <r>
      <rPr>
        <sz val="12"/>
        <rFont val="宋体"/>
        <charset val="134"/>
      </rPr>
      <t>颌骨</t>
    </r>
    <r>
      <rPr>
        <sz val="12"/>
        <rFont val="Times New Roman"/>
        <charset val="0"/>
      </rPr>
      <t>/</t>
    </r>
    <r>
      <rPr>
        <sz val="12"/>
        <rFont val="宋体"/>
        <charset val="134"/>
      </rPr>
      <t>腭部缺损赝复体修复费（复杂）</t>
    </r>
  </si>
  <si>
    <r>
      <rPr>
        <sz val="12"/>
        <rFont val="宋体"/>
        <charset val="134"/>
      </rPr>
      <t>通过赝复体修复复杂情况的颌骨</t>
    </r>
    <r>
      <rPr>
        <sz val="12"/>
        <rFont val="Times New Roman"/>
        <charset val="0"/>
      </rPr>
      <t>/</t>
    </r>
    <r>
      <rPr>
        <sz val="12"/>
        <rFont val="宋体"/>
        <charset val="134"/>
      </rPr>
      <t>软腭缺损。</t>
    </r>
  </si>
  <si>
    <t>所定价格涵盖准备、预备、取印模、制备、试戴、取颌位记录、试戴、调改、处理用物等步骤所需的人力资源和基本物质资源消耗。</t>
  </si>
  <si>
    <r>
      <rPr>
        <sz val="12"/>
        <rFont val="宋体"/>
        <charset val="134"/>
      </rPr>
      <t>复杂指：口鼻腔穿通、下颌骨连续性丧失、单颌缺失</t>
    </r>
    <r>
      <rPr>
        <sz val="12"/>
        <rFont val="Times New Roman"/>
        <charset val="0"/>
      </rPr>
      <t>10</t>
    </r>
    <r>
      <rPr>
        <sz val="12"/>
        <rFont val="宋体"/>
        <charset val="134"/>
      </rPr>
      <t>颗牙及以上、伴软腭缺损、伴面部缺损、下颌带翼导板、腭护板加辅助放疗装置、全上颌缺失修复的情况。</t>
    </r>
  </si>
  <si>
    <t>013105170140000</t>
  </si>
  <si>
    <t>面部缺损赝复体修复费</t>
  </si>
  <si>
    <t>通过赝复体修复面部缺损。</t>
  </si>
  <si>
    <t>所定价格涵盖准备、印模、制备、个性化比色、试戴、个性化上色、调改、处理用物等步骤所需的人力资源和基本物质资源消耗。</t>
  </si>
  <si>
    <r>
      <rPr>
        <sz val="12"/>
        <rFont val="宋体"/>
        <charset val="134"/>
      </rPr>
      <t>如面部缺损涉及多个器官，如眼、耳、鼻缺损，</t>
    </r>
    <r>
      <rPr>
        <sz val="12"/>
        <rFont val="Times New Roman"/>
        <charset val="0"/>
      </rPr>
      <t xml:space="preserve"> </t>
    </r>
    <r>
      <rPr>
        <sz val="12"/>
        <rFont val="宋体"/>
        <charset val="134"/>
      </rPr>
      <t>每增加</t>
    </r>
    <r>
      <rPr>
        <sz val="12"/>
        <rFont val="Times New Roman"/>
        <charset val="0"/>
      </rPr>
      <t>1</t>
    </r>
    <r>
      <rPr>
        <sz val="12"/>
        <rFont val="宋体"/>
        <charset val="134"/>
      </rPr>
      <t>个器官，按件叠加计价收费。</t>
    </r>
  </si>
  <si>
    <t>013105010230000</t>
  </si>
  <si>
    <t>咬合板治疗费</t>
  </si>
  <si>
    <t>通过戴入咬合板调整咬合关系。</t>
  </si>
  <si>
    <t>所定价格涵盖准备、取印模、制备、试戴、调改、处理用物等步骤所需的人力资源和基本物质资源消耗。</t>
  </si>
  <si>
    <t>013105010230001</t>
  </si>
  <si>
    <r>
      <rPr>
        <sz val="12"/>
        <rFont val="宋体"/>
        <charset val="134"/>
      </rPr>
      <t>咬合板治疗费</t>
    </r>
    <r>
      <rPr>
        <sz val="12"/>
        <rFont val="Times New Roman"/>
        <charset val="0"/>
      </rPr>
      <t>-</t>
    </r>
    <r>
      <rPr>
        <sz val="12"/>
        <rFont val="宋体"/>
        <charset val="134"/>
      </rPr>
      <t>减材</t>
    </r>
    <r>
      <rPr>
        <sz val="12"/>
        <rFont val="Times New Roman"/>
        <charset val="0"/>
      </rPr>
      <t>/</t>
    </r>
    <r>
      <rPr>
        <sz val="12"/>
        <rFont val="宋体"/>
        <charset val="134"/>
      </rPr>
      <t>增材咬合板（加收）</t>
    </r>
  </si>
  <si>
    <t>013105010230002</t>
  </si>
  <si>
    <r>
      <rPr>
        <sz val="12"/>
        <rFont val="宋体"/>
        <charset val="134"/>
      </rPr>
      <t>咬合板治疗费</t>
    </r>
    <r>
      <rPr>
        <sz val="12"/>
        <rFont val="Times New Roman"/>
        <charset val="0"/>
      </rPr>
      <t>-</t>
    </r>
    <r>
      <rPr>
        <sz val="12"/>
        <rFont val="宋体"/>
        <charset val="134"/>
      </rPr>
      <t>弹性咬合板（减收）</t>
    </r>
  </si>
  <si>
    <t>013105190020000</t>
  </si>
  <si>
    <t>修复体拆除费</t>
  </si>
  <si>
    <t>对固定在口内的修复体进行拆除。</t>
  </si>
  <si>
    <t>所定价格涵盖准备、修复体拆除、处理用物等步骤所需的人力资源和基本物质资源消耗。</t>
  </si>
  <si>
    <t>修复体</t>
  </si>
  <si>
    <t>013105190030000</t>
  </si>
  <si>
    <t>修复体维护费</t>
  </si>
  <si>
    <t>对修复体进行调改、修补、再粘接等维护。</t>
  </si>
  <si>
    <t>所定价格涵盖准备、取印模、模型制备、修补、试戴、调改、再粘接、处理用物等步骤所需的人力资源和基本物质资源消耗。</t>
  </si>
  <si>
    <r>
      <rPr>
        <sz val="12"/>
        <rFont val="Times New Roman"/>
        <charset val="0"/>
      </rPr>
      <t>1.</t>
    </r>
    <r>
      <rPr>
        <sz val="12"/>
        <rFont val="宋体"/>
        <charset val="134"/>
      </rPr>
      <t>修理卡环和基托按涉及牙位计价收费。</t>
    </r>
    <r>
      <rPr>
        <sz val="12"/>
        <rFont val="Times New Roman"/>
        <charset val="0"/>
      </rPr>
      <t xml:space="preserve">
2.</t>
    </r>
    <r>
      <rPr>
        <sz val="12"/>
        <rFont val="宋体"/>
        <charset val="134"/>
      </rPr>
      <t>此项适用于非保修保质期内的修复体维护。</t>
    </r>
  </si>
  <si>
    <t>012406000030000</t>
  </si>
  <si>
    <t>全口牙周系统检查费</t>
  </si>
  <si>
    <t>通过设备对牙周进行系统检查，并完成系统表记录。</t>
  </si>
  <si>
    <t>所定价格涵盖准备、牙周风险评估、记录、处理用物等步骤所需的人力资源和基本物质资源消耗。</t>
  </si>
  <si>
    <t>012406000040000</t>
  </si>
  <si>
    <t>牙周探诊费</t>
  </si>
  <si>
    <t>通过牙周专用刻度探针进行牙周袋深度的测量和判定并记录。</t>
  </si>
  <si>
    <t>所定价格涵盖准备、牙周探诊、测量、记录、处理用物等步骤所需的人力资源和基本物质资源消耗。</t>
  </si>
  <si>
    <r>
      <rPr>
        <sz val="12"/>
        <rFont val="宋体"/>
        <charset val="134"/>
      </rPr>
      <t>不与</t>
    </r>
    <r>
      <rPr>
        <sz val="12"/>
        <rFont val="Times New Roman"/>
        <charset val="0"/>
      </rPr>
      <t>“</t>
    </r>
    <r>
      <rPr>
        <sz val="12"/>
        <rFont val="宋体"/>
        <charset val="134"/>
      </rPr>
      <t>全口牙周系统检查费</t>
    </r>
    <r>
      <rPr>
        <sz val="12"/>
        <rFont val="Times New Roman"/>
        <charset val="0"/>
      </rPr>
      <t>”</t>
    </r>
    <r>
      <rPr>
        <sz val="12"/>
        <rFont val="宋体"/>
        <charset val="134"/>
      </rPr>
      <t>同时收取。</t>
    </r>
  </si>
  <si>
    <t>012406000050000</t>
  </si>
  <si>
    <t>牙周指数检查费</t>
  </si>
  <si>
    <t>检查并记录菌斑指数、出血指数、松动度、根分叉病变。</t>
  </si>
  <si>
    <t>所定价格涵盖准备、检查、判读、记录、处理用物等步骤所需的人力资源和基本物质资源消耗。</t>
  </si>
  <si>
    <t>013105010240000</t>
  </si>
  <si>
    <t>牙周冲洗上药费</t>
  </si>
  <si>
    <t>对牙周袋或智齿盲袋内部进行冲洗、置入药物。</t>
  </si>
  <si>
    <t>所定价格涵盖准备、冲洗、清除、上药、处理用物等步骤所需的人力资源和基本物质资源消耗。</t>
  </si>
  <si>
    <t>013105010250000</t>
  </si>
  <si>
    <t>牙周塞治费</t>
  </si>
  <si>
    <t>通过塞治剂覆盖创面或辅助龈瓣贴合于骨面、牙面。</t>
  </si>
  <si>
    <t>所定价格涵盖准备、调配、放置、修整、处理用物等步骤所需的人力资源和基本物质资源消耗。</t>
  </si>
  <si>
    <t>013105010250100</t>
  </si>
  <si>
    <r>
      <rPr>
        <sz val="12"/>
        <rFont val="宋体"/>
        <charset val="134"/>
      </rPr>
      <t>牙周塞治费</t>
    </r>
    <r>
      <rPr>
        <sz val="12"/>
        <rFont val="Times New Roman"/>
        <charset val="0"/>
      </rPr>
      <t>-</t>
    </r>
    <r>
      <rPr>
        <sz val="12"/>
        <rFont val="宋体"/>
        <charset val="134"/>
      </rPr>
      <t>口腔局部止血费（扩展）</t>
    </r>
  </si>
  <si>
    <t>013105010260000</t>
  </si>
  <si>
    <t>龈上洁治费</t>
  </si>
  <si>
    <t>通过各种方式清除牙龈缘以上的菌斑、牙石及其他沉积物。</t>
  </si>
  <si>
    <t>所定价格涵盖准备、洁治、处理用物，必要时上药等步骤所需的人力资源和基本物质资源消耗。</t>
  </si>
  <si>
    <r>
      <rPr>
        <sz val="12"/>
        <rFont val="宋体"/>
        <charset val="134"/>
      </rPr>
      <t>同一治疗部位不与</t>
    </r>
    <r>
      <rPr>
        <sz val="12"/>
        <rFont val="Times New Roman"/>
        <charset val="0"/>
      </rPr>
      <t>“</t>
    </r>
    <r>
      <rPr>
        <sz val="12"/>
        <rFont val="宋体"/>
        <charset val="134"/>
      </rPr>
      <t>牙周冲洗上药费</t>
    </r>
    <r>
      <rPr>
        <sz val="12"/>
        <rFont val="Times New Roman"/>
        <charset val="0"/>
      </rPr>
      <t>”</t>
    </r>
    <r>
      <rPr>
        <sz val="12"/>
        <rFont val="宋体"/>
        <charset val="134"/>
      </rPr>
      <t>同时收取。</t>
    </r>
  </si>
  <si>
    <t>013105010260001</t>
  </si>
  <si>
    <r>
      <rPr>
        <sz val="12"/>
        <rFont val="宋体"/>
        <charset val="134"/>
      </rPr>
      <t>龈上洁治费</t>
    </r>
    <r>
      <rPr>
        <sz val="12"/>
        <rFont val="Times New Roman"/>
        <charset val="0"/>
      </rPr>
      <t>-</t>
    </r>
    <r>
      <rPr>
        <sz val="12"/>
        <rFont val="宋体"/>
        <charset val="134"/>
      </rPr>
      <t>种植牙洁治（加收）</t>
    </r>
  </si>
  <si>
    <t>013105010270000</t>
  </si>
  <si>
    <t>牙面抛光费</t>
  </si>
  <si>
    <t>对牙面进行抛光。</t>
  </si>
  <si>
    <t>所定价格涵盖准备、抛光、处理用物等步骤所需的人力资源和基本物质资源消耗。</t>
  </si>
  <si>
    <t>013105010280000</t>
  </si>
  <si>
    <t>牙面喷砂费</t>
  </si>
  <si>
    <t>通过喷砂去除位于龈上或龈下的菌斑、色素、牙石。</t>
  </si>
  <si>
    <r>
      <rPr>
        <sz val="12"/>
        <rFont val="宋体"/>
        <charset val="134"/>
      </rPr>
      <t>所定价格涵盖准备、对牙面</t>
    </r>
    <r>
      <rPr>
        <sz val="12"/>
        <rFont val="Times New Roman"/>
        <charset val="0"/>
      </rPr>
      <t>/</t>
    </r>
    <r>
      <rPr>
        <sz val="12"/>
        <rFont val="宋体"/>
        <charset val="134"/>
      </rPr>
      <t>根面喷砂、处理用物等步骤所需的人力资源和基本物质资源消耗。</t>
    </r>
  </si>
  <si>
    <t>013105010290000</t>
  </si>
  <si>
    <t>龈下刮治费</t>
  </si>
  <si>
    <t>通过各种方式去除龈下牙石、菌斑。</t>
  </si>
  <si>
    <t>所定价格涵盖准备、探查、刮治、处理用物等步骤所需的人力资源和基本物质资源消耗。</t>
  </si>
  <si>
    <t>013105010290001</t>
  </si>
  <si>
    <r>
      <rPr>
        <sz val="12"/>
        <rFont val="宋体"/>
        <charset val="134"/>
      </rPr>
      <t>龈下刮治费</t>
    </r>
    <r>
      <rPr>
        <sz val="12"/>
        <rFont val="Times New Roman"/>
        <charset val="0"/>
      </rPr>
      <t>-</t>
    </r>
    <r>
      <rPr>
        <sz val="12"/>
        <rFont val="宋体"/>
        <charset val="134"/>
      </rPr>
      <t>种植体龈下刮治（加收）</t>
    </r>
  </si>
  <si>
    <t>013306020270000</t>
  </si>
  <si>
    <t>根面平整费</t>
  </si>
  <si>
    <t>通过各种方式去除根面感染病变的牙骨质。</t>
  </si>
  <si>
    <t>所定价格涵盖手术计划、术区准备、消毒、根面平整，必要时通过设备微创实施、处理用物等步骤所需的人力资源和基本物质资源消耗。</t>
  </si>
  <si>
    <t>013306020270001</t>
  </si>
  <si>
    <r>
      <rPr>
        <sz val="12"/>
        <rFont val="宋体"/>
        <charset val="134"/>
      </rPr>
      <t>根面平整费</t>
    </r>
    <r>
      <rPr>
        <sz val="12"/>
        <rFont val="Times New Roman"/>
        <charset val="0"/>
      </rPr>
      <t>-</t>
    </r>
    <r>
      <rPr>
        <sz val="12"/>
        <rFont val="宋体"/>
        <charset val="134"/>
      </rPr>
      <t>儿童（加收）</t>
    </r>
  </si>
  <si>
    <t>013105010300000</t>
  </si>
  <si>
    <t>松牙固定费</t>
  </si>
  <si>
    <t>通过各种方式对松动牙齿进行固定。</t>
  </si>
  <si>
    <t>所定价格涵盖准备、检查、固定、咬合检查、调整、处理用物等步骤所需的人力资源和基本物质资源消耗。</t>
  </si>
  <si>
    <t>013105010300100</t>
  </si>
  <si>
    <r>
      <rPr>
        <sz val="12"/>
        <rFont val="宋体"/>
        <charset val="134"/>
      </rPr>
      <t>松牙固定费</t>
    </r>
    <r>
      <rPr>
        <sz val="12"/>
        <rFont val="Times New Roman"/>
        <charset val="0"/>
      </rPr>
      <t>-</t>
    </r>
    <r>
      <rPr>
        <sz val="12"/>
        <rFont val="宋体"/>
        <charset val="134"/>
      </rPr>
      <t>外伤牙固定费（扩展）</t>
    </r>
  </si>
  <si>
    <t>013105010310000</t>
  </si>
  <si>
    <t>松牙固定拆除费</t>
  </si>
  <si>
    <t>拆除松牙固定装置。</t>
  </si>
  <si>
    <t>所定价格涵盖准备、检查、拆除、清理、调整、处理用物等步骤所需的人力资源和基本物质资源消耗。</t>
  </si>
  <si>
    <t>013306020280000</t>
  </si>
  <si>
    <t>牙周翻瓣费</t>
  </si>
  <si>
    <t>通过手术翻开牙龈瓣，进行清创。</t>
  </si>
  <si>
    <t>所定价格涵盖制定手术计划、术区准备、消毒、切开、翻瓣、清创、骨修整、复位、缝合、处理用物等步骤所需的人力资源和基本物质资源消耗。</t>
  </si>
  <si>
    <t>复杂牙周翻瓣指：根向或冠向复位切口、远中楔形切除、根分叉病变的情况。</t>
  </si>
  <si>
    <t>013306020280001</t>
  </si>
  <si>
    <r>
      <rPr>
        <sz val="12"/>
        <rFont val="宋体"/>
        <charset val="134"/>
      </rPr>
      <t>牙周翻瓣费</t>
    </r>
    <r>
      <rPr>
        <sz val="12"/>
        <rFont val="Times New Roman"/>
        <charset val="0"/>
      </rPr>
      <t>-</t>
    </r>
    <r>
      <rPr>
        <sz val="12"/>
        <rFont val="宋体"/>
        <charset val="134"/>
      </rPr>
      <t>儿童（加收）</t>
    </r>
  </si>
  <si>
    <t>013306020280011</t>
  </si>
  <si>
    <r>
      <rPr>
        <sz val="12"/>
        <rFont val="宋体"/>
        <charset val="134"/>
      </rPr>
      <t>牙周翻瓣费</t>
    </r>
    <r>
      <rPr>
        <sz val="12"/>
        <rFont val="Times New Roman"/>
        <charset val="0"/>
      </rPr>
      <t>-</t>
    </r>
    <r>
      <rPr>
        <sz val="12"/>
        <rFont val="宋体"/>
        <charset val="134"/>
      </rPr>
      <t>复杂牙周翻瓣（加收）</t>
    </r>
  </si>
  <si>
    <t>013306020290000</t>
  </si>
  <si>
    <t>牙龈成形费</t>
  </si>
  <si>
    <t>通过手术切除部分牙龈组织，恢复牙龈生理外形。</t>
  </si>
  <si>
    <t>所定价格涵盖手术计划、术区准备、消毒、修整、冲洗、止血、塞治、处理用物等步骤所需的人力资源和基本物质资源消耗。</t>
  </si>
  <si>
    <t>013306020290001</t>
  </si>
  <si>
    <r>
      <rPr>
        <sz val="12"/>
        <rFont val="宋体"/>
        <charset val="134"/>
      </rPr>
      <t>牙龈成形费</t>
    </r>
    <r>
      <rPr>
        <sz val="12"/>
        <rFont val="Times New Roman"/>
        <charset val="0"/>
      </rPr>
      <t>-</t>
    </r>
    <r>
      <rPr>
        <sz val="12"/>
        <rFont val="宋体"/>
        <charset val="134"/>
      </rPr>
      <t>儿童（加收）</t>
    </r>
  </si>
  <si>
    <t>013306020290100</t>
  </si>
  <si>
    <r>
      <rPr>
        <sz val="12"/>
        <rFont val="宋体"/>
        <charset val="134"/>
      </rPr>
      <t>牙龈成形费</t>
    </r>
    <r>
      <rPr>
        <sz val="12"/>
        <rFont val="Times New Roman"/>
        <charset val="0"/>
      </rPr>
      <t>-</t>
    </r>
    <r>
      <rPr>
        <sz val="12"/>
        <rFont val="宋体"/>
        <charset val="134"/>
      </rPr>
      <t>龈瘤切除费（扩展）</t>
    </r>
  </si>
  <si>
    <t>013306020300000</t>
  </si>
  <si>
    <t>游离龈移植费</t>
  </si>
  <si>
    <t>将自体组织或人工材料异位植入到角化龈不足的牙槽嵴。</t>
  </si>
  <si>
    <t>所定价格涵盖手术计划、术区准备、消毒、切开、翻瓣、清创、冲洗、修整、取材、植入、固定、缝合、处理用物等步骤所需的人力资源和基本物质资源消耗。</t>
  </si>
  <si>
    <t>013306020300001</t>
  </si>
  <si>
    <r>
      <rPr>
        <sz val="12"/>
        <rFont val="宋体"/>
        <charset val="134"/>
      </rPr>
      <t>游离龈移植费</t>
    </r>
    <r>
      <rPr>
        <sz val="12"/>
        <rFont val="Times New Roman"/>
        <charset val="0"/>
      </rPr>
      <t>-</t>
    </r>
    <r>
      <rPr>
        <sz val="12"/>
        <rFont val="宋体"/>
        <charset val="134"/>
      </rPr>
      <t>儿童（加收）</t>
    </r>
  </si>
  <si>
    <t>013306020300100</t>
  </si>
  <si>
    <r>
      <rPr>
        <sz val="12"/>
        <rFont val="宋体"/>
        <charset val="134"/>
      </rPr>
      <t>游离龈移植费</t>
    </r>
    <r>
      <rPr>
        <sz val="12"/>
        <rFont val="Times New Roman"/>
        <charset val="0"/>
      </rPr>
      <t>-</t>
    </r>
    <r>
      <rPr>
        <sz val="12"/>
        <rFont val="宋体"/>
        <charset val="134"/>
      </rPr>
      <t>上皮下结缔组织移植费（扩展）</t>
    </r>
  </si>
  <si>
    <t>013306020310000</t>
  </si>
  <si>
    <t>引导性牙周组织再生费</t>
  </si>
  <si>
    <t>通过手术促进牙周组织再生。</t>
  </si>
  <si>
    <t>所定价格涵盖手术计划、术区准备、消毒、放置屏障膜并固定、复位、缝合、塞治、处理用物等步骤所需的人力资源和基本物质资源消耗。</t>
  </si>
  <si>
    <t>013306020310001</t>
  </si>
  <si>
    <r>
      <rPr>
        <sz val="12"/>
        <rFont val="宋体"/>
        <charset val="134"/>
      </rPr>
      <t>引导性牙周组织再生费</t>
    </r>
    <r>
      <rPr>
        <sz val="12"/>
        <rFont val="Times New Roman"/>
        <charset val="0"/>
      </rPr>
      <t>-</t>
    </r>
    <r>
      <rPr>
        <sz val="12"/>
        <rFont val="宋体"/>
        <charset val="134"/>
      </rPr>
      <t>儿童（加收）</t>
    </r>
  </si>
  <si>
    <t>013306020320000</t>
  </si>
  <si>
    <t>牙周纤维环状切断费</t>
  </si>
  <si>
    <t>通过手术切断牙周纤维。</t>
  </si>
  <si>
    <t>所定价格涵盖手术计划、术区准备、消毒、切断、止血、塞治、处理用物等步骤所需的人力资源和基本物质资源消耗。</t>
  </si>
  <si>
    <t>013306020320001</t>
  </si>
  <si>
    <r>
      <rPr>
        <sz val="12"/>
        <rFont val="宋体"/>
        <charset val="134"/>
      </rPr>
      <t>牙周纤维环状切断费</t>
    </r>
    <r>
      <rPr>
        <sz val="12"/>
        <rFont val="Times New Roman"/>
        <charset val="0"/>
      </rPr>
      <t>-</t>
    </r>
    <r>
      <rPr>
        <sz val="12"/>
        <rFont val="宋体"/>
        <charset val="134"/>
      </rPr>
      <t>儿童（加收）</t>
    </r>
  </si>
  <si>
    <t>013306020330000</t>
  </si>
  <si>
    <t>皮质骨切开费</t>
  </si>
  <si>
    <t>通过手术切开牙槽骨唇侧皮质骨板。</t>
  </si>
  <si>
    <t>所定价格涵盖手术计划、术区准备、消毒、切开、复位、止血、缝合、处理用物等步骤所需的人力资源和基本物质资源消耗。</t>
  </si>
  <si>
    <t>013306020330001</t>
  </si>
  <si>
    <r>
      <rPr>
        <sz val="12"/>
        <rFont val="宋体"/>
        <charset val="134"/>
      </rPr>
      <t>皮质骨切开费</t>
    </r>
    <r>
      <rPr>
        <sz val="12"/>
        <rFont val="Times New Roman"/>
        <charset val="0"/>
      </rPr>
      <t>-</t>
    </r>
    <r>
      <rPr>
        <sz val="12"/>
        <rFont val="宋体"/>
        <charset val="134"/>
      </rPr>
      <t>儿童（加收）</t>
    </r>
  </si>
  <si>
    <t>013306020330011</t>
  </si>
  <si>
    <r>
      <rPr>
        <sz val="12"/>
        <rFont val="宋体"/>
        <charset val="134"/>
      </rPr>
      <t>皮质骨切开费</t>
    </r>
    <r>
      <rPr>
        <sz val="12"/>
        <rFont val="Times New Roman"/>
        <charset val="0"/>
      </rPr>
      <t>-</t>
    </r>
    <r>
      <rPr>
        <sz val="12"/>
        <rFont val="宋体"/>
        <charset val="134"/>
      </rPr>
      <t>舌侧（加收）</t>
    </r>
  </si>
  <si>
    <t>013105010320000</t>
  </si>
  <si>
    <t>调𬌗治疗费</t>
  </si>
  <si>
    <t>通过调整牙齿、修复体接触点或咬合面，改善咬合问题。</t>
  </si>
  <si>
    <t>所定价格涵盖准备、咬合纸检查、咬合印迹分析、咬合形态调整、处理用物等步骤所需的人力资源和基本物质资源消耗。</t>
  </si>
  <si>
    <r>
      <rPr>
        <sz val="12"/>
        <rFont val="宋体"/>
        <charset val="134"/>
      </rPr>
      <t>在牙体缺损充填或修复治疗中进行的调</t>
    </r>
    <r>
      <rPr>
        <sz val="12"/>
        <rFont val="Times New Roman"/>
        <charset val="0"/>
      </rPr>
      <t>𬌗</t>
    </r>
    <r>
      <rPr>
        <sz val="12"/>
        <rFont val="宋体"/>
        <charset val="134"/>
      </rPr>
      <t>已经含入价格构成，不单独收取。</t>
    </r>
  </si>
  <si>
    <t>012406000060000</t>
  </si>
  <si>
    <t>咬合力检测费</t>
  </si>
  <si>
    <t>通过各种方式对上下牙齿咀嚼产生的力量进行检测和评价。</t>
  </si>
  <si>
    <t>所定价格涵盖准备、检查、分析、评价、处理用物等步骤所需的人力资源和基本物质资源消耗。</t>
  </si>
  <si>
    <t>012406000070000</t>
  </si>
  <si>
    <t>下颌运动功能检查费</t>
  </si>
  <si>
    <t>通过各种方式对下颌运动进行检查和评价。</t>
  </si>
  <si>
    <t>012406000080000</t>
  </si>
  <si>
    <t>咀嚼效率检查费</t>
  </si>
  <si>
    <t>通过各种方式对咀嚼效率进行检查和评价。</t>
  </si>
  <si>
    <t>所定价格涵盖准备、材料准备、残渣收集、处理、分析、评价、处理用物等步骤所需的人力资源和基本物质资源消耗。</t>
  </si>
  <si>
    <t>012406000090000</t>
  </si>
  <si>
    <t>唾液腺功能测定费</t>
  </si>
  <si>
    <t>评估唾液腺分泌能力和功能状态。</t>
  </si>
  <si>
    <t>所定价格涵盖准备、测定静态和刺激性全唾液流量、出具结果、处理用物等步骤所需的人力资源和基本物质资源消耗。</t>
  </si>
  <si>
    <t>013105010340000</t>
  </si>
  <si>
    <t>唾液腺药物灌注费</t>
  </si>
  <si>
    <t>向唾液腺导管内灌注药物。</t>
  </si>
  <si>
    <t>所定价格涵盖准备、扩张、注射药物、处理用物等步骤所需的人力资源和基本物质资源消耗。</t>
  </si>
  <si>
    <r>
      <rPr>
        <sz val="12"/>
        <rFont val="宋体"/>
        <charset val="134"/>
      </rPr>
      <t>腺体</t>
    </r>
    <r>
      <rPr>
        <sz val="12"/>
        <rFont val="Times New Roman"/>
        <charset val="0"/>
      </rPr>
      <t>·</t>
    </r>
    <r>
      <rPr>
        <sz val="12"/>
        <rFont val="宋体"/>
        <charset val="134"/>
      </rPr>
      <t>单侧</t>
    </r>
  </si>
  <si>
    <r>
      <rPr>
        <sz val="12"/>
        <rFont val="Times New Roman"/>
        <charset val="0"/>
      </rPr>
      <t>1.</t>
    </r>
    <r>
      <rPr>
        <sz val="12"/>
        <rFont val="宋体"/>
        <charset val="134"/>
      </rPr>
      <t>唾液腺的非药物性灌注，按此项目收费。</t>
    </r>
    <r>
      <rPr>
        <sz val="12"/>
        <rFont val="Times New Roman"/>
        <charset val="0"/>
      </rPr>
      <t xml:space="preserve">
2.“</t>
    </r>
    <r>
      <rPr>
        <sz val="12"/>
        <rFont val="宋体"/>
        <charset val="134"/>
      </rPr>
      <t>腺体</t>
    </r>
    <r>
      <rPr>
        <sz val="12"/>
        <rFont val="Times New Roman"/>
        <charset val="0"/>
      </rPr>
      <t>·</t>
    </r>
    <r>
      <rPr>
        <sz val="12"/>
        <rFont val="宋体"/>
        <charset val="134"/>
      </rPr>
      <t>单侧</t>
    </r>
    <r>
      <rPr>
        <sz val="12"/>
        <rFont val="Times New Roman"/>
        <charset val="0"/>
      </rPr>
      <t>”</t>
    </r>
    <r>
      <rPr>
        <sz val="12"/>
        <rFont val="宋体"/>
        <charset val="134"/>
      </rPr>
      <t>指口腔内每侧每腺体。单侧多个腺体或双侧单个腺体可叠加收费。</t>
    </r>
    <r>
      <rPr>
        <sz val="12"/>
        <rFont val="Times New Roman"/>
        <charset val="0"/>
      </rPr>
      <t xml:space="preserve">
3.</t>
    </r>
    <r>
      <rPr>
        <sz val="12"/>
        <rFont val="宋体"/>
        <charset val="134"/>
      </rPr>
      <t>使用内镜加收</t>
    </r>
    <r>
      <rPr>
        <sz val="12"/>
        <rFont val="Times New Roman"/>
        <charset val="0"/>
      </rPr>
      <t>30%</t>
    </r>
    <r>
      <rPr>
        <sz val="12"/>
        <rFont val="宋体"/>
        <charset val="134"/>
      </rPr>
      <t>。</t>
    </r>
  </si>
  <si>
    <t>013306020340000</t>
  </si>
  <si>
    <t>唾液腺导管取石费</t>
  </si>
  <si>
    <t>通过各种方式将唾液腺导管结石取出。</t>
  </si>
  <si>
    <t>所定价格涵盖手术计划、术区准备、消毒、探查、切开、取出、处理用物等步骤所需的人力资源和基本物质资源消耗。</t>
  </si>
  <si>
    <r>
      <rPr>
        <sz val="12"/>
        <rFont val="Times New Roman"/>
        <charset val="0"/>
      </rPr>
      <t>1.“</t>
    </r>
    <r>
      <rPr>
        <sz val="12"/>
        <rFont val="宋体"/>
        <charset val="134"/>
      </rPr>
      <t>腺体</t>
    </r>
    <r>
      <rPr>
        <sz val="12"/>
        <rFont val="Times New Roman"/>
        <charset val="0"/>
      </rPr>
      <t>·</t>
    </r>
    <r>
      <rPr>
        <sz val="12"/>
        <rFont val="宋体"/>
        <charset val="134"/>
      </rPr>
      <t>单侧</t>
    </r>
    <r>
      <rPr>
        <sz val="12"/>
        <rFont val="Times New Roman"/>
        <charset val="0"/>
      </rPr>
      <t>”</t>
    </r>
    <r>
      <rPr>
        <sz val="12"/>
        <rFont val="宋体"/>
        <charset val="134"/>
      </rPr>
      <t>指口腔内每侧每腺体。单侧多个腺体或双侧单个腺体可叠加收费。</t>
    </r>
    <r>
      <rPr>
        <sz val="12"/>
        <rFont val="Times New Roman"/>
        <charset val="0"/>
      </rPr>
      <t xml:space="preserve">
2.</t>
    </r>
    <r>
      <rPr>
        <sz val="12"/>
        <rFont val="宋体"/>
        <charset val="134"/>
      </rPr>
      <t>使用内镜加收</t>
    </r>
    <r>
      <rPr>
        <sz val="12"/>
        <rFont val="Times New Roman"/>
        <charset val="0"/>
      </rPr>
      <t>30%</t>
    </r>
    <r>
      <rPr>
        <sz val="12"/>
        <rFont val="宋体"/>
        <charset val="134"/>
      </rPr>
      <t>。</t>
    </r>
  </si>
  <si>
    <t>013306020340001</t>
  </si>
  <si>
    <r>
      <rPr>
        <sz val="12"/>
        <rFont val="宋体"/>
        <charset val="134"/>
      </rPr>
      <t>唾液腺导管取石费</t>
    </r>
    <r>
      <rPr>
        <sz val="12"/>
        <rFont val="Times New Roman"/>
        <charset val="0"/>
      </rPr>
      <t>-</t>
    </r>
    <r>
      <rPr>
        <sz val="12"/>
        <rFont val="宋体"/>
        <charset val="134"/>
      </rPr>
      <t>儿童（加收）</t>
    </r>
  </si>
  <si>
    <r>
      <rPr>
        <sz val="12"/>
        <rFont val="宋体"/>
        <charset val="134"/>
      </rPr>
      <t>腺体</t>
    </r>
    <r>
      <rPr>
        <sz val="12"/>
        <rFont val="Times New Roman"/>
        <charset val="0"/>
      </rPr>
      <t>•</t>
    </r>
    <r>
      <rPr>
        <sz val="12"/>
        <rFont val="宋体"/>
        <charset val="134"/>
      </rPr>
      <t>单侧</t>
    </r>
  </si>
  <si>
    <t>013306020350000</t>
  </si>
  <si>
    <t>唾液腺导管治疗费</t>
  </si>
  <si>
    <t>对唾液腺导管进行治疗。</t>
  </si>
  <si>
    <t>所定价格涵盖手术计划、术区准备、消毒、冲洗、松解、扩张、处理用物等步骤所需的人力资源和基本物质资源消耗。</t>
  </si>
  <si>
    <t>013306020350001</t>
  </si>
  <si>
    <r>
      <rPr>
        <sz val="12"/>
        <rFont val="宋体"/>
        <charset val="134"/>
      </rPr>
      <t>唾液腺导管治疗费</t>
    </r>
    <r>
      <rPr>
        <sz val="12"/>
        <rFont val="Times New Roman"/>
        <charset val="0"/>
      </rPr>
      <t>-</t>
    </r>
    <r>
      <rPr>
        <sz val="12"/>
        <rFont val="宋体"/>
        <charset val="134"/>
      </rPr>
      <t>儿童（加收）</t>
    </r>
  </si>
  <si>
    <t>013105010350000</t>
  </si>
  <si>
    <t>口腔黏膜病局部药物治疗费</t>
  </si>
  <si>
    <t>通过各种方式对口腔黏膜局部病损进行治疗。</t>
  </si>
  <si>
    <r>
      <rPr>
        <sz val="12"/>
        <rFont val="宋体"/>
        <charset val="134"/>
      </rPr>
      <t>所定价格涵盖准备、注射</t>
    </r>
    <r>
      <rPr>
        <sz val="12"/>
        <rFont val="Times New Roman"/>
        <charset val="0"/>
      </rPr>
      <t>/</t>
    </r>
    <r>
      <rPr>
        <sz val="12"/>
        <rFont val="宋体"/>
        <charset val="134"/>
      </rPr>
      <t>雾化</t>
    </r>
    <r>
      <rPr>
        <sz val="12"/>
        <rFont val="Times New Roman"/>
        <charset val="0"/>
      </rPr>
      <t>/</t>
    </r>
    <r>
      <rPr>
        <sz val="12"/>
        <rFont val="宋体"/>
        <charset val="134"/>
      </rPr>
      <t>湿敷</t>
    </r>
    <r>
      <rPr>
        <sz val="12"/>
        <rFont val="Times New Roman"/>
        <charset val="0"/>
      </rPr>
      <t>/</t>
    </r>
    <r>
      <rPr>
        <sz val="12"/>
        <rFont val="宋体"/>
        <charset val="134"/>
      </rPr>
      <t>局部封闭</t>
    </r>
    <r>
      <rPr>
        <sz val="12"/>
        <rFont val="Times New Roman"/>
        <charset val="0"/>
      </rPr>
      <t>/</t>
    </r>
    <r>
      <rPr>
        <sz val="12"/>
        <rFont val="宋体"/>
        <charset val="134"/>
      </rPr>
      <t>穴位注射、处理用物等步骤所需的人力资源和基本物质资源消耗。</t>
    </r>
  </si>
  <si>
    <t>012410000010000</t>
  </si>
  <si>
    <r>
      <rPr>
        <sz val="12"/>
        <rFont val="宋体"/>
        <charset val="134"/>
      </rPr>
      <t>消化道</t>
    </r>
    <r>
      <rPr>
        <sz val="12"/>
        <rFont val="Times New Roman"/>
        <charset val="0"/>
      </rPr>
      <t>pH</t>
    </r>
    <r>
      <rPr>
        <sz val="12"/>
        <rFont val="宋体"/>
        <charset val="134"/>
      </rPr>
      <t>值监测费</t>
    </r>
  </si>
  <si>
    <r>
      <rPr>
        <sz val="12"/>
        <rFont val="宋体"/>
        <charset val="134"/>
      </rPr>
      <t>通过各种方式监测消化道</t>
    </r>
    <r>
      <rPr>
        <sz val="12"/>
        <rFont val="Times New Roman"/>
        <charset val="0"/>
      </rPr>
      <t>ph</t>
    </r>
    <r>
      <rPr>
        <sz val="12"/>
        <rFont val="宋体"/>
        <charset val="134"/>
      </rPr>
      <t>值。</t>
    </r>
  </si>
  <si>
    <t>所定价格涵盖设备准备、插管、测定、撤除、数据提取分析、出具报告、处理用物等步骤所需的人力资源和基本物质资源消耗。（不含内镜操作）</t>
  </si>
  <si>
    <r>
      <rPr>
        <sz val="12"/>
        <rFont val="宋体"/>
        <charset val="134"/>
      </rPr>
      <t>本项目中的</t>
    </r>
    <r>
      <rPr>
        <sz val="12"/>
        <rFont val="Times New Roman"/>
        <charset val="0"/>
      </rPr>
      <t>“</t>
    </r>
    <r>
      <rPr>
        <sz val="12"/>
        <rFont val="宋体"/>
        <charset val="134"/>
      </rPr>
      <t>次</t>
    </r>
    <r>
      <rPr>
        <sz val="12"/>
        <rFont val="Times New Roman"/>
        <charset val="0"/>
      </rPr>
      <t>”</t>
    </r>
    <r>
      <rPr>
        <sz val="12"/>
        <rFont val="宋体"/>
        <charset val="134"/>
      </rPr>
      <t>指：监测时长</t>
    </r>
    <r>
      <rPr>
        <sz val="12"/>
        <rFont val="Times New Roman"/>
        <charset val="0"/>
      </rPr>
      <t>24</t>
    </r>
    <r>
      <rPr>
        <sz val="12"/>
        <rFont val="宋体"/>
        <charset val="134"/>
      </rPr>
      <t>小时，不足</t>
    </r>
    <r>
      <rPr>
        <sz val="12"/>
        <rFont val="Times New Roman"/>
        <charset val="0"/>
      </rPr>
      <t>24</t>
    </r>
    <r>
      <rPr>
        <sz val="12"/>
        <rFont val="宋体"/>
        <charset val="134"/>
      </rPr>
      <t>小时按</t>
    </r>
    <r>
      <rPr>
        <sz val="12"/>
        <rFont val="Times New Roman"/>
        <charset val="0"/>
      </rPr>
      <t>24</t>
    </r>
    <r>
      <rPr>
        <sz val="12"/>
        <rFont val="宋体"/>
        <charset val="134"/>
      </rPr>
      <t>小时计费。</t>
    </r>
  </si>
  <si>
    <t>消化系统类</t>
  </si>
  <si>
    <t>012410000010001</t>
  </si>
  <si>
    <r>
      <rPr>
        <sz val="12"/>
        <rFont val="宋体"/>
        <charset val="134"/>
      </rPr>
      <t>消化道</t>
    </r>
    <r>
      <rPr>
        <sz val="12"/>
        <rFont val="Times New Roman"/>
        <charset val="0"/>
      </rPr>
      <t>pH</t>
    </r>
    <r>
      <rPr>
        <sz val="12"/>
        <rFont val="宋体"/>
        <charset val="134"/>
      </rPr>
      <t>值监测费</t>
    </r>
    <r>
      <rPr>
        <sz val="12"/>
        <rFont val="Times New Roman"/>
        <charset val="0"/>
      </rPr>
      <t>-</t>
    </r>
    <r>
      <rPr>
        <sz val="12"/>
        <rFont val="宋体"/>
        <charset val="134"/>
      </rPr>
      <t>阻抗测定（加收）</t>
    </r>
  </si>
  <si>
    <t>012410000020000</t>
  </si>
  <si>
    <t>消化道压力测定费</t>
  </si>
  <si>
    <t>通过各种方式测定消化道压力。</t>
  </si>
  <si>
    <r>
      <rPr>
        <sz val="12"/>
        <rFont val="宋体"/>
        <charset val="134"/>
      </rPr>
      <t>本项目中的</t>
    </r>
    <r>
      <rPr>
        <sz val="12"/>
        <rFont val="Times New Roman"/>
        <charset val="0"/>
      </rPr>
      <t>“</t>
    </r>
    <r>
      <rPr>
        <sz val="12"/>
        <rFont val="宋体"/>
        <charset val="134"/>
      </rPr>
      <t>消化道压力测定</t>
    </r>
    <r>
      <rPr>
        <sz val="12"/>
        <rFont val="Times New Roman"/>
        <charset val="0"/>
      </rPr>
      <t>”</t>
    </r>
    <r>
      <rPr>
        <sz val="12"/>
        <rFont val="宋体"/>
        <charset val="134"/>
      </rPr>
      <t>指：食管测压、高分辨率食管测压、</t>
    </r>
    <r>
      <rPr>
        <sz val="12"/>
        <rFont val="Times New Roman"/>
        <charset val="0"/>
      </rPr>
      <t>24</t>
    </r>
    <r>
      <rPr>
        <sz val="12"/>
        <rFont val="宋体"/>
        <charset val="134"/>
      </rPr>
      <t>小时食管动态测压、胃肠测压、</t>
    </r>
    <r>
      <rPr>
        <sz val="12"/>
        <rFont val="Times New Roman"/>
        <charset val="0"/>
      </rPr>
      <t>24</t>
    </r>
    <r>
      <rPr>
        <sz val="12"/>
        <rFont val="宋体"/>
        <charset val="134"/>
      </rPr>
      <t>小时胃肠测压、胃幽门十二指肠测压、奥迪氏括约肌测压、结肠测压、肛门直肠测压、胆道测压等，以上不同测压按本项目收费，同一入路同一操作时间仅可计费</t>
    </r>
    <r>
      <rPr>
        <sz val="12"/>
        <rFont val="Times New Roman"/>
        <charset val="0"/>
      </rPr>
      <t>1</t>
    </r>
    <r>
      <rPr>
        <sz val="12"/>
        <rFont val="宋体"/>
        <charset val="134"/>
      </rPr>
      <t>次。</t>
    </r>
  </si>
  <si>
    <t>012410000030000</t>
  </si>
  <si>
    <t>胃肠电图检查费</t>
  </si>
  <si>
    <t>通过传导生物电，记录胃肠生物电活动并绘图，检查胃肠的蠕动情况及动力的强弱。</t>
  </si>
  <si>
    <t>所定价格涵盖设备准备、电极安放、记录、分析、出具报告、处理用物等步骤所需的人力资源和基本物质资源消耗。</t>
  </si>
  <si>
    <t>012410000040000</t>
  </si>
  <si>
    <t>呼气试验费（炎症检测）</t>
  </si>
  <si>
    <t>测定呼出气体中特定气体的含量，判断气道炎症或全身炎症反应。</t>
  </si>
  <si>
    <t>所定价格涵盖设备准备、指导呼气、测定、分析、出具报告、处理用物等步骤所需的人力资源和基本物质资源消耗。</t>
  </si>
  <si>
    <r>
      <rPr>
        <sz val="12"/>
        <rFont val="宋体"/>
        <charset val="134"/>
      </rPr>
      <t>本项目中的</t>
    </r>
    <r>
      <rPr>
        <sz val="12"/>
        <rFont val="Times New Roman"/>
        <charset val="0"/>
      </rPr>
      <t>“</t>
    </r>
    <r>
      <rPr>
        <sz val="12"/>
        <rFont val="宋体"/>
        <charset val="134"/>
      </rPr>
      <t>特定气体</t>
    </r>
    <r>
      <rPr>
        <sz val="12"/>
        <rFont val="Times New Roman"/>
        <charset val="0"/>
      </rPr>
      <t>”</t>
    </r>
    <r>
      <rPr>
        <sz val="12"/>
        <rFont val="宋体"/>
        <charset val="134"/>
      </rPr>
      <t>指：一氧化氮。</t>
    </r>
  </si>
  <si>
    <t>012410000050000</t>
  </si>
  <si>
    <t>呼气试验费（红细胞寿命检测）</t>
  </si>
  <si>
    <t>测定呼出气体中特定气体的含量，判断红细胞寿命。</t>
  </si>
  <si>
    <r>
      <rPr>
        <sz val="12"/>
        <rFont val="宋体"/>
        <charset val="134"/>
      </rPr>
      <t>本项目中的</t>
    </r>
    <r>
      <rPr>
        <sz val="12"/>
        <rFont val="Times New Roman"/>
        <charset val="0"/>
      </rPr>
      <t>“</t>
    </r>
    <r>
      <rPr>
        <sz val="12"/>
        <rFont val="宋体"/>
        <charset val="134"/>
      </rPr>
      <t>特定气体</t>
    </r>
    <r>
      <rPr>
        <sz val="12"/>
        <rFont val="Times New Roman"/>
        <charset val="0"/>
      </rPr>
      <t>”</t>
    </r>
    <r>
      <rPr>
        <sz val="12"/>
        <rFont val="宋体"/>
        <charset val="134"/>
      </rPr>
      <t>指：一氧化碳。</t>
    </r>
  </si>
  <si>
    <t>012410000060000</t>
  </si>
  <si>
    <t>呼气试验费（幽门螺旋杆菌检测）</t>
  </si>
  <si>
    <t>通过测定呼出气体中标记同位素的含量，判断是否存在幽门螺杆菌感染。</t>
  </si>
  <si>
    <t>所定价格涵盖设备准备、指导呼气、采集气体、底物及服用、再次采集气体、测定、分析、出具报告、处理用物等步骤所需的人力资源和基本物质资源消耗。</t>
  </si>
  <si>
    <t>012410000070000</t>
  </si>
  <si>
    <t>呼气试验费（胃肠功能检测）</t>
  </si>
  <si>
    <t>通过测定呼出气体中特定气体的含量，评估胃肠功能、小肠细菌过度生长。</t>
  </si>
  <si>
    <t>所定价格涵盖设备准备、底物及服用、指导呼气、多次采集气体、测定、分析、出具报告、处理用物等步骤所需的人力资源和基本物质资源消耗。</t>
  </si>
  <si>
    <r>
      <rPr>
        <sz val="12"/>
        <rFont val="宋体"/>
        <charset val="134"/>
      </rPr>
      <t>本项目中的</t>
    </r>
    <r>
      <rPr>
        <sz val="12"/>
        <rFont val="Times New Roman"/>
        <charset val="0"/>
      </rPr>
      <t>“</t>
    </r>
    <r>
      <rPr>
        <sz val="12"/>
        <rFont val="宋体"/>
        <charset val="134"/>
      </rPr>
      <t>特定气体</t>
    </r>
    <r>
      <rPr>
        <sz val="12"/>
        <rFont val="Times New Roman"/>
        <charset val="0"/>
      </rPr>
      <t>”</t>
    </r>
    <r>
      <rPr>
        <sz val="12"/>
        <rFont val="宋体"/>
        <charset val="134"/>
      </rPr>
      <t>指：氢气、甲烷、二氧化碳；其中氢气和甲烷的测定各计为</t>
    </r>
    <r>
      <rPr>
        <sz val="12"/>
        <rFont val="Times New Roman"/>
        <charset val="0"/>
      </rPr>
      <t>1</t>
    </r>
    <r>
      <rPr>
        <sz val="12"/>
        <rFont val="宋体"/>
        <charset val="134"/>
      </rPr>
      <t>项，二氧化碳的测定不额外计费。</t>
    </r>
  </si>
  <si>
    <t>012410000080000</t>
  </si>
  <si>
    <t>胃肠传输时间检查费</t>
  </si>
  <si>
    <t>根据标记物在消化道不同时间的分布情况，判断胃肠道动力。</t>
  </si>
  <si>
    <t>所定价格涵盖标记物准备、指导服用、拍片、数据处理、出具报告、处理用物等步骤所需的人力资源和基本物质资源消耗。</t>
  </si>
  <si>
    <t>012410000090000</t>
  </si>
  <si>
    <t>肝功能储备检查费</t>
  </si>
  <si>
    <t>通过监测特定状态下，肝脏对相关物质的滞留、排泄清除率，判断肝储备功能。</t>
  </si>
  <si>
    <t>所定价格涵盖准备、静脉注射、定时取血或探头监测含量、记录、计算、出具报告、处理用物等步骤所需的人力资源和基本物质资源消耗。</t>
  </si>
  <si>
    <t>肝功能排泄试验按此收费。</t>
  </si>
  <si>
    <t>013109000010000</t>
  </si>
  <si>
    <t>肠道菌群移植费</t>
  </si>
  <si>
    <t>收集并检测供者肠道样本制备菌液或菌制成品，通过消化道植入患者肠道。</t>
  </si>
  <si>
    <t>所定价格涵盖准备、供体筛查、采集、采集物检测、分离、制备、保存、植入、处理用物等步骤所需的人力资源和基本物质资源消耗。</t>
  </si>
  <si>
    <r>
      <rPr>
        <sz val="12"/>
        <rFont val="宋体"/>
        <charset val="134"/>
      </rPr>
      <t>需胃肠道内镜或置管辅助完成移植的，可收取</t>
    </r>
    <r>
      <rPr>
        <sz val="12"/>
        <rFont val="Times New Roman"/>
        <charset val="0"/>
      </rPr>
      <t>“</t>
    </r>
    <r>
      <rPr>
        <sz val="12"/>
        <rFont val="宋体"/>
        <charset val="134"/>
      </rPr>
      <t>内镜检查</t>
    </r>
    <r>
      <rPr>
        <sz val="12"/>
        <rFont val="Times New Roman"/>
        <charset val="0"/>
      </rPr>
      <t>”</t>
    </r>
    <r>
      <rPr>
        <sz val="12"/>
        <rFont val="宋体"/>
        <charset val="134"/>
      </rPr>
      <t>及</t>
    </r>
    <r>
      <rPr>
        <sz val="12"/>
        <rFont val="Times New Roman"/>
        <charset val="0"/>
      </rPr>
      <t>“</t>
    </r>
    <r>
      <rPr>
        <sz val="12"/>
        <rFont val="宋体"/>
        <charset val="134"/>
      </rPr>
      <t>胃肠道置管</t>
    </r>
    <r>
      <rPr>
        <sz val="12"/>
        <rFont val="Times New Roman"/>
        <charset val="0"/>
      </rPr>
      <t>”</t>
    </r>
    <r>
      <rPr>
        <sz val="12"/>
        <rFont val="宋体"/>
        <charset val="134"/>
      </rPr>
      <t>费用。</t>
    </r>
  </si>
  <si>
    <t>013109000020000</t>
  </si>
  <si>
    <t>腹水回输治疗费</t>
  </si>
  <si>
    <t>收集腹水，处理后回输患者进行治疗。</t>
  </si>
  <si>
    <t>所定价格涵盖准备、穿刺、置管、引流采集、过滤、回输、处理用物等步骤所需的人力资源和基本物质资源消耗。</t>
  </si>
  <si>
    <t>013109000020100</t>
  </si>
  <si>
    <r>
      <rPr>
        <sz val="12"/>
        <rFont val="宋体"/>
        <charset val="134"/>
      </rPr>
      <t>腹水回输治疗费</t>
    </r>
    <r>
      <rPr>
        <sz val="12"/>
        <rFont val="Times New Roman"/>
        <charset val="0"/>
      </rPr>
      <t>-</t>
    </r>
    <r>
      <rPr>
        <sz val="12"/>
        <rFont val="宋体"/>
        <charset val="134"/>
      </rPr>
      <t>胸水回输治疗（扩展）</t>
    </r>
  </si>
  <si>
    <t>013109000030000</t>
  </si>
  <si>
    <t>肠异位灌注整复费</t>
  </si>
  <si>
    <t>通过灌注复位肠套叠、肠扭转等各类异位情况。</t>
  </si>
  <si>
    <t>所定价格涵盖设备准备、灌注、观察、复位、处理用物等步骤所需的人力资源和基本物质资源消耗。（不含内镜操作）</t>
  </si>
  <si>
    <t>013109000030100</t>
  </si>
  <si>
    <r>
      <rPr>
        <sz val="12"/>
        <rFont val="宋体"/>
        <charset val="134"/>
      </rPr>
      <t>肠异位灌注整复费</t>
    </r>
    <r>
      <rPr>
        <sz val="12"/>
        <rFont val="Times New Roman"/>
        <charset val="0"/>
      </rPr>
      <t>-</t>
    </r>
    <r>
      <rPr>
        <sz val="12"/>
        <rFont val="宋体"/>
        <charset val="134"/>
      </rPr>
      <t>胃异位整复（扩展）</t>
    </r>
  </si>
  <si>
    <t>012410000100000</t>
  </si>
  <si>
    <t>胶囊内镜检查费（非操控）</t>
  </si>
  <si>
    <t>各类胶囊内镜借助消化道自身蠕动，无需外界干预，自然通过消化道完成检查。</t>
  </si>
  <si>
    <t>所定价格涵盖准备、指导吞服胶囊内镜、收集影像信息、出具报告、处理用物等步骤所需的人力资源和基本物质资源消耗。</t>
  </si>
  <si>
    <t>012410000110000</t>
  </si>
  <si>
    <t>胶囊内镜检查费（受操控）</t>
  </si>
  <si>
    <t>医务人员以磁控等方式操作胶囊内镜，使其在受操控下通过消化道，实现定向定位检查。</t>
  </si>
  <si>
    <t>所定价格涵盖准备、指导吞服胶囊内镜、操控、收集影像信息、出具报告、处理用物等步骤所需的人力资源和基本物质资源消耗。</t>
  </si>
  <si>
    <t>012410000120000</t>
  </si>
  <si>
    <t>上消化道内镜检查费（常规）</t>
  </si>
  <si>
    <t>通过消化道内镜观察和诊断上消化道的疾病。</t>
  </si>
  <si>
    <t>所定价格涵盖设备准备、体位摆放、入镜、观察、图像采集、撤镜、出具报告、处理用物等步骤所需的人力资源和基本物质资源消耗。</t>
  </si>
  <si>
    <r>
      <rPr>
        <sz val="12"/>
        <rFont val="Times New Roman"/>
        <charset val="0"/>
      </rPr>
      <t>1.</t>
    </r>
    <r>
      <rPr>
        <sz val="12"/>
        <rFont val="宋体"/>
        <charset val="134"/>
      </rPr>
      <t>单次入路检查经过多个部位的，以最终到达的部位计费</t>
    </r>
    <r>
      <rPr>
        <sz val="12"/>
        <rFont val="Times New Roman"/>
        <charset val="0"/>
      </rPr>
      <t>1</t>
    </r>
    <r>
      <rPr>
        <sz val="12"/>
        <rFont val="宋体"/>
        <charset val="134"/>
      </rPr>
      <t>次。</t>
    </r>
    <r>
      <rPr>
        <sz val="12"/>
        <rFont val="Times New Roman"/>
        <charset val="0"/>
      </rPr>
      <t xml:space="preserve">
2.</t>
    </r>
    <r>
      <rPr>
        <sz val="12"/>
        <rFont val="宋体"/>
        <charset val="134"/>
      </rPr>
      <t>同时行放大、染色检查仅计费</t>
    </r>
    <r>
      <rPr>
        <sz val="12"/>
        <rFont val="Times New Roman"/>
        <charset val="0"/>
      </rPr>
      <t>1</t>
    </r>
    <r>
      <rPr>
        <sz val="12"/>
        <rFont val="宋体"/>
        <charset val="134"/>
      </rPr>
      <t>次。</t>
    </r>
    <r>
      <rPr>
        <sz val="12"/>
        <rFont val="Times New Roman"/>
        <charset val="0"/>
      </rPr>
      <t xml:space="preserve">
3.“</t>
    </r>
    <r>
      <rPr>
        <sz val="12"/>
        <rFont val="宋体"/>
        <charset val="134"/>
      </rPr>
      <t>经皮经肝胆道镜检查</t>
    </r>
    <r>
      <rPr>
        <sz val="12"/>
        <rFont val="Times New Roman"/>
        <charset val="0"/>
      </rPr>
      <t>”</t>
    </r>
    <r>
      <rPr>
        <sz val="12"/>
        <rFont val="宋体"/>
        <charset val="134"/>
      </rPr>
      <t>按</t>
    </r>
    <r>
      <rPr>
        <sz val="12"/>
        <rFont val="Times New Roman"/>
        <charset val="0"/>
      </rPr>
      <t>“</t>
    </r>
    <r>
      <rPr>
        <sz val="12"/>
        <rFont val="宋体"/>
        <charset val="134"/>
      </rPr>
      <t>胆</t>
    </r>
    <r>
      <rPr>
        <sz val="12"/>
        <rFont val="Times New Roman"/>
        <charset val="0"/>
      </rPr>
      <t>/</t>
    </r>
    <r>
      <rPr>
        <sz val="12"/>
        <rFont val="宋体"/>
        <charset val="134"/>
      </rPr>
      <t>胰管内镜检查</t>
    </r>
    <r>
      <rPr>
        <sz val="12"/>
        <rFont val="Times New Roman"/>
        <charset val="0"/>
      </rPr>
      <t>”</t>
    </r>
    <r>
      <rPr>
        <sz val="12"/>
        <rFont val="宋体"/>
        <charset val="134"/>
      </rPr>
      <t>收费。</t>
    </r>
  </si>
  <si>
    <t>012410000120001</t>
  </si>
  <si>
    <r>
      <rPr>
        <sz val="12"/>
        <rFont val="宋体"/>
        <charset val="134"/>
      </rPr>
      <t>上消化道内镜检查费（常规）</t>
    </r>
    <r>
      <rPr>
        <sz val="12"/>
        <rFont val="Times New Roman"/>
        <charset val="0"/>
      </rPr>
      <t>-</t>
    </r>
    <r>
      <rPr>
        <sz val="12"/>
        <rFont val="宋体"/>
        <charset val="134"/>
      </rPr>
      <t>单气囊小肠镜（加收）</t>
    </r>
  </si>
  <si>
    <t>012410000120002</t>
  </si>
  <si>
    <r>
      <rPr>
        <sz val="12"/>
        <rFont val="宋体"/>
        <charset val="134"/>
      </rPr>
      <t>上消化道内镜检查费（常规）</t>
    </r>
    <r>
      <rPr>
        <sz val="12"/>
        <rFont val="Times New Roman"/>
        <charset val="0"/>
      </rPr>
      <t>-</t>
    </r>
    <r>
      <rPr>
        <sz val="12"/>
        <rFont val="宋体"/>
        <charset val="134"/>
      </rPr>
      <t>双气囊小肠镜（加收）</t>
    </r>
  </si>
  <si>
    <t>012410000120003</t>
  </si>
  <si>
    <r>
      <rPr>
        <sz val="12"/>
        <rFont val="宋体"/>
        <charset val="134"/>
      </rPr>
      <t>上消化道内镜检查费（常规）</t>
    </r>
    <r>
      <rPr>
        <sz val="12"/>
        <rFont val="Times New Roman"/>
        <charset val="0"/>
      </rPr>
      <t>-</t>
    </r>
    <r>
      <rPr>
        <sz val="12"/>
        <rFont val="宋体"/>
        <charset val="134"/>
      </rPr>
      <t>胆</t>
    </r>
    <r>
      <rPr>
        <sz val="12"/>
        <rFont val="Times New Roman"/>
        <charset val="0"/>
      </rPr>
      <t>/</t>
    </r>
    <r>
      <rPr>
        <sz val="12"/>
        <rFont val="宋体"/>
        <charset val="134"/>
      </rPr>
      <t>胰管内镜检查（加收）</t>
    </r>
  </si>
  <si>
    <t>012410000120004</t>
  </si>
  <si>
    <r>
      <rPr>
        <sz val="12"/>
        <rFont val="宋体"/>
        <charset val="134"/>
      </rPr>
      <t>上消化道内镜检查费（常规）</t>
    </r>
    <r>
      <rPr>
        <sz val="12"/>
        <rFont val="Times New Roman"/>
        <charset val="0"/>
      </rPr>
      <t>-</t>
    </r>
    <r>
      <rPr>
        <sz val="12"/>
        <rFont val="宋体"/>
        <charset val="134"/>
      </rPr>
      <t>胆</t>
    </r>
    <r>
      <rPr>
        <sz val="12"/>
        <rFont val="Times New Roman"/>
        <charset val="0"/>
      </rPr>
      <t>/</t>
    </r>
    <r>
      <rPr>
        <sz val="12"/>
        <rFont val="宋体"/>
        <charset val="134"/>
      </rPr>
      <t>胰管内镜子镜检查（加收）</t>
    </r>
  </si>
  <si>
    <t>012410000120011</t>
  </si>
  <si>
    <r>
      <rPr>
        <sz val="12"/>
        <rFont val="宋体"/>
        <charset val="134"/>
      </rPr>
      <t>上消化道内镜检查费（常规）</t>
    </r>
    <r>
      <rPr>
        <sz val="12"/>
        <rFont val="Times New Roman"/>
        <charset val="0"/>
      </rPr>
      <t>-</t>
    </r>
    <r>
      <rPr>
        <sz val="12"/>
        <rFont val="宋体"/>
        <charset val="134"/>
      </rPr>
      <t>放大</t>
    </r>
    <r>
      <rPr>
        <sz val="12"/>
        <rFont val="Times New Roman"/>
        <charset val="0"/>
      </rPr>
      <t>/</t>
    </r>
    <r>
      <rPr>
        <sz val="12"/>
        <rFont val="宋体"/>
        <charset val="134"/>
      </rPr>
      <t>染色检查（加收）</t>
    </r>
  </si>
  <si>
    <t>012410000130000</t>
  </si>
  <si>
    <t>下消化道内镜检查费（常规）</t>
  </si>
  <si>
    <t>通过消化道内镜观察和诊断下消化道的疾病。</t>
  </si>
  <si>
    <r>
      <rPr>
        <sz val="12"/>
        <rFont val="Times New Roman"/>
        <charset val="0"/>
      </rPr>
      <t>1.</t>
    </r>
    <r>
      <rPr>
        <sz val="12"/>
        <rFont val="宋体"/>
        <charset val="134"/>
      </rPr>
      <t>单次入路检查经过多个部位的，以最终到达的部位计费</t>
    </r>
    <r>
      <rPr>
        <sz val="12"/>
        <rFont val="Times New Roman"/>
        <charset val="0"/>
      </rPr>
      <t>1</t>
    </r>
    <r>
      <rPr>
        <sz val="12"/>
        <rFont val="宋体"/>
        <charset val="134"/>
      </rPr>
      <t>次。</t>
    </r>
    <r>
      <rPr>
        <sz val="12"/>
        <rFont val="Times New Roman"/>
        <charset val="0"/>
      </rPr>
      <t xml:space="preserve">
2.</t>
    </r>
    <r>
      <rPr>
        <sz val="12"/>
        <rFont val="宋体"/>
        <charset val="134"/>
      </rPr>
      <t>同时行放大、染色检查仅计费</t>
    </r>
    <r>
      <rPr>
        <sz val="12"/>
        <rFont val="Times New Roman"/>
        <charset val="0"/>
      </rPr>
      <t>1</t>
    </r>
    <r>
      <rPr>
        <sz val="12"/>
        <rFont val="宋体"/>
        <charset val="134"/>
      </rPr>
      <t>次。</t>
    </r>
  </si>
  <si>
    <t>012410000130001</t>
  </si>
  <si>
    <r>
      <rPr>
        <sz val="12"/>
        <rFont val="宋体"/>
        <charset val="134"/>
      </rPr>
      <t>下消化道内镜检查费（常规）</t>
    </r>
    <r>
      <rPr>
        <sz val="12"/>
        <rFont val="Times New Roman"/>
        <charset val="0"/>
      </rPr>
      <t>-</t>
    </r>
    <r>
      <rPr>
        <sz val="12"/>
        <rFont val="宋体"/>
        <charset val="134"/>
      </rPr>
      <t>单气囊小肠镜（加收）</t>
    </r>
  </si>
  <si>
    <t>012410000130002</t>
  </si>
  <si>
    <r>
      <rPr>
        <sz val="12"/>
        <rFont val="宋体"/>
        <charset val="134"/>
      </rPr>
      <t>下消化道内镜检查费（常规）</t>
    </r>
    <r>
      <rPr>
        <sz val="12"/>
        <rFont val="Times New Roman"/>
        <charset val="0"/>
      </rPr>
      <t>-</t>
    </r>
    <r>
      <rPr>
        <sz val="12"/>
        <rFont val="宋体"/>
        <charset val="134"/>
      </rPr>
      <t>双气囊小肠镜（加收）</t>
    </r>
  </si>
  <si>
    <t>012410000130011</t>
  </si>
  <si>
    <r>
      <rPr>
        <sz val="12"/>
        <rFont val="宋体"/>
        <charset val="134"/>
      </rPr>
      <t>下消化道内镜检查费（常规）</t>
    </r>
    <r>
      <rPr>
        <sz val="12"/>
        <rFont val="Times New Roman"/>
        <charset val="0"/>
      </rPr>
      <t>-</t>
    </r>
    <r>
      <rPr>
        <sz val="12"/>
        <rFont val="宋体"/>
        <charset val="134"/>
      </rPr>
      <t>放大</t>
    </r>
    <r>
      <rPr>
        <sz val="12"/>
        <rFont val="Times New Roman"/>
        <charset val="0"/>
      </rPr>
      <t>/</t>
    </r>
    <r>
      <rPr>
        <sz val="12"/>
        <rFont val="宋体"/>
        <charset val="134"/>
      </rPr>
      <t>染色检查（加收）</t>
    </r>
  </si>
  <si>
    <t>012410000140000</t>
  </si>
  <si>
    <t>上消化道内镜检查费（超声内镜）</t>
  </si>
  <si>
    <r>
      <rPr>
        <sz val="12"/>
        <rFont val="宋体"/>
        <charset val="134"/>
      </rPr>
      <t>通过微探头、环扫</t>
    </r>
    <r>
      <rPr>
        <sz val="12"/>
        <rFont val="Times New Roman"/>
        <charset val="0"/>
      </rPr>
      <t xml:space="preserve"> </t>
    </r>
    <r>
      <rPr>
        <sz val="12"/>
        <rFont val="宋体"/>
        <charset val="134"/>
      </rPr>
      <t>、线阵式等不同消化道超声内镜观察和诊断疾病。</t>
    </r>
  </si>
  <si>
    <r>
      <rPr>
        <sz val="12"/>
        <rFont val="宋体"/>
        <charset val="134"/>
      </rPr>
      <t>单次入路检查经过多个部位的，以最终到达的部位计费</t>
    </r>
    <r>
      <rPr>
        <sz val="12"/>
        <rFont val="Times New Roman"/>
        <charset val="0"/>
      </rPr>
      <t>1</t>
    </r>
    <r>
      <rPr>
        <sz val="12"/>
        <rFont val="宋体"/>
        <charset val="134"/>
      </rPr>
      <t>次。</t>
    </r>
  </si>
  <si>
    <t>012410000140001</t>
  </si>
  <si>
    <r>
      <rPr>
        <sz val="12"/>
        <rFont val="宋体"/>
        <charset val="134"/>
      </rPr>
      <t>上消化道内镜检查费（超声内镜）</t>
    </r>
    <r>
      <rPr>
        <sz val="12"/>
        <rFont val="Times New Roman"/>
        <charset val="0"/>
      </rPr>
      <t>-</t>
    </r>
    <r>
      <rPr>
        <sz val="12"/>
        <rFont val="宋体"/>
        <charset val="134"/>
      </rPr>
      <t>胆</t>
    </r>
    <r>
      <rPr>
        <sz val="12"/>
        <rFont val="Times New Roman"/>
        <charset val="0"/>
      </rPr>
      <t>/</t>
    </r>
    <r>
      <rPr>
        <sz val="12"/>
        <rFont val="宋体"/>
        <charset val="134"/>
      </rPr>
      <t>胰超声内镜检查（加收）</t>
    </r>
  </si>
  <si>
    <t>012410000150000</t>
  </si>
  <si>
    <t>下消化道内镜检查费（超声内镜）</t>
  </si>
  <si>
    <t>012410000160000</t>
  </si>
  <si>
    <t>上消化道内镜检查费（共聚焦激光显微内镜）</t>
  </si>
  <si>
    <t>通过共聚焦激光显微内镜观察和诊断上消化道的疾病。</t>
  </si>
  <si>
    <t>所定价格涵盖设备准备、体位摆放、应用对比剂（静脉或喷涂）、入镜、观察、图像采集、撤镜、处理用物等步骤所需的人力资源和基本物质资源消耗。</t>
  </si>
  <si>
    <r>
      <rPr>
        <sz val="12"/>
        <rFont val="Times New Roman"/>
        <charset val="0"/>
      </rPr>
      <t>1.</t>
    </r>
    <r>
      <rPr>
        <sz val="12"/>
        <rFont val="宋体"/>
        <charset val="134"/>
      </rPr>
      <t>单次入路检查经过多个部位的，以最终到达的部位计费</t>
    </r>
    <r>
      <rPr>
        <sz val="12"/>
        <rFont val="Times New Roman"/>
        <charset val="0"/>
      </rPr>
      <t>1</t>
    </r>
    <r>
      <rPr>
        <sz val="12"/>
        <rFont val="宋体"/>
        <charset val="134"/>
      </rPr>
      <t>次。</t>
    </r>
    <r>
      <rPr>
        <sz val="12"/>
        <rFont val="Times New Roman"/>
        <charset val="0"/>
      </rPr>
      <t xml:space="preserve">
2.</t>
    </r>
    <r>
      <rPr>
        <sz val="12"/>
        <rFont val="宋体"/>
        <charset val="134"/>
      </rPr>
      <t>超声内镜引导针基共聚焦激光显微内镜行胆</t>
    </r>
    <r>
      <rPr>
        <sz val="12"/>
        <rFont val="Times New Roman"/>
        <charset val="0"/>
      </rPr>
      <t>/</t>
    </r>
    <r>
      <rPr>
        <sz val="12"/>
        <rFont val="宋体"/>
        <charset val="134"/>
      </rPr>
      <t>胰检查时，可收取</t>
    </r>
    <r>
      <rPr>
        <sz val="12"/>
        <rFont val="Times New Roman"/>
        <charset val="0"/>
      </rPr>
      <t>“</t>
    </r>
    <r>
      <rPr>
        <sz val="12"/>
        <rFont val="宋体"/>
        <charset val="134"/>
      </rPr>
      <t>上消化道内镜检查费（超声内镜）</t>
    </r>
    <r>
      <rPr>
        <sz val="12"/>
        <rFont val="Times New Roman"/>
        <charset val="0"/>
      </rPr>
      <t>-</t>
    </r>
    <r>
      <rPr>
        <sz val="12"/>
        <rFont val="宋体"/>
        <charset val="134"/>
      </rPr>
      <t>胆</t>
    </r>
    <r>
      <rPr>
        <sz val="12"/>
        <rFont val="Times New Roman"/>
        <charset val="0"/>
      </rPr>
      <t>/</t>
    </r>
    <r>
      <rPr>
        <sz val="12"/>
        <rFont val="宋体"/>
        <charset val="134"/>
      </rPr>
      <t>胰超声内镜检查（加收）</t>
    </r>
    <r>
      <rPr>
        <sz val="12"/>
        <rFont val="Times New Roman"/>
        <charset val="0"/>
      </rPr>
      <t>”</t>
    </r>
    <r>
      <rPr>
        <sz val="12"/>
        <rFont val="宋体"/>
        <charset val="134"/>
      </rPr>
      <t>及</t>
    </r>
    <r>
      <rPr>
        <sz val="12"/>
        <rFont val="Times New Roman"/>
        <charset val="0"/>
      </rPr>
      <t>“</t>
    </r>
    <r>
      <rPr>
        <sz val="12"/>
        <rFont val="宋体"/>
        <charset val="134"/>
      </rPr>
      <t>上消化道内镜检查费（共聚焦激光显微内镜）</t>
    </r>
    <r>
      <rPr>
        <sz val="12"/>
        <rFont val="Times New Roman"/>
        <charset val="0"/>
      </rPr>
      <t>”</t>
    </r>
    <r>
      <rPr>
        <sz val="12"/>
        <rFont val="宋体"/>
        <charset val="134"/>
      </rPr>
      <t>。</t>
    </r>
  </si>
  <si>
    <t>012410000170000</t>
  </si>
  <si>
    <t>下消化道内镜检查费（共聚焦激光显微内镜）</t>
  </si>
  <si>
    <t>通过共聚焦激光显微内镜观察和诊断下消化道的疾病。</t>
  </si>
  <si>
    <t>012301010050000</t>
  </si>
  <si>
    <t>无创逆行胰胆管造影费</t>
  </si>
  <si>
    <t>通过无创操作，将导管插入胆管和（或）胰管内进行造影。</t>
  </si>
  <si>
    <t>所定价格涵盖准备、置管、注入对比剂、摄取成像、撤除、出具报告、数字影像处理与上传存储（含数字方式）、处理用物等步骤所需的人力资源、设备运转成本和基本物质资源消耗。（不含内镜检查）</t>
  </si>
  <si>
    <t>012301010060000</t>
  </si>
  <si>
    <t>经皮经肝胆管造影费</t>
  </si>
  <si>
    <r>
      <rPr>
        <sz val="12"/>
        <rFont val="宋体"/>
        <charset val="134"/>
      </rPr>
      <t>通过经皮经肝穿刺胆管造影。</t>
    </r>
    <r>
      <rPr>
        <sz val="12"/>
        <rFont val="Times New Roman"/>
        <charset val="0"/>
      </rPr>
      <t xml:space="preserve">  </t>
    </r>
  </si>
  <si>
    <t>所定价格涵盖准备、穿刺、置管、注入对比剂、摄取成像、撤除、出具报告、数字影像处理与上传存储（含数字方式）、处理用物等步骤所需的人力资源、设备运转成本和基本物质资源消耗。</t>
  </si>
  <si>
    <t>013109000040000</t>
  </si>
  <si>
    <t>经皮经肝穿刺胆管外引流费</t>
  </si>
  <si>
    <t>经皮经肝穿刺胆管并置入引流管，实现外引流。</t>
  </si>
  <si>
    <r>
      <rPr>
        <sz val="12"/>
        <rFont val="宋体"/>
        <charset val="134"/>
      </rPr>
      <t>所定价格涵盖设备准备、体位摆放、穿刺、观察、必要时扩张、置管、引流、处理用物等步骤所需的人力资源、设备运转成本和基本物质资源消耗。</t>
    </r>
    <r>
      <rPr>
        <sz val="12"/>
        <rFont val="Times New Roman"/>
        <charset val="0"/>
      </rPr>
      <t xml:space="preserve"> </t>
    </r>
    <r>
      <rPr>
        <sz val="12"/>
        <rFont val="宋体"/>
        <charset val="134"/>
      </rPr>
      <t>（不含内镜检查和经皮经肝胆管造影）</t>
    </r>
  </si>
  <si>
    <t>013109000040100</t>
  </si>
  <si>
    <r>
      <rPr>
        <sz val="12"/>
        <rFont val="宋体"/>
        <charset val="134"/>
      </rPr>
      <t>经皮经肝穿刺胆管外引流费</t>
    </r>
    <r>
      <rPr>
        <sz val="12"/>
        <rFont val="Times New Roman"/>
        <charset val="0"/>
      </rPr>
      <t>-</t>
    </r>
    <r>
      <rPr>
        <sz val="12"/>
        <rFont val="宋体"/>
        <charset val="134"/>
      </rPr>
      <t>经皮经肝穿刺胆囊外引流费</t>
    </r>
    <r>
      <rPr>
        <sz val="12"/>
        <rFont val="Times New Roman"/>
        <charset val="0"/>
      </rPr>
      <t xml:space="preserve">
</t>
    </r>
    <r>
      <rPr>
        <sz val="12"/>
        <rFont val="宋体"/>
        <charset val="134"/>
      </rPr>
      <t>（扩展）</t>
    </r>
  </si>
  <si>
    <t>013109000050000</t>
  </si>
  <si>
    <t>经皮经肝穿刺胆管内引流费</t>
  </si>
  <si>
    <t>通过经皮经肝穿刺进入胆管通路，实现内引流。</t>
  </si>
  <si>
    <t>013109000050100</t>
  </si>
  <si>
    <r>
      <rPr>
        <sz val="12"/>
        <rFont val="宋体"/>
        <charset val="134"/>
      </rPr>
      <t>经皮经肝穿刺胆管内引流费</t>
    </r>
    <r>
      <rPr>
        <sz val="12"/>
        <rFont val="Times New Roman"/>
        <charset val="0"/>
      </rPr>
      <t>-</t>
    </r>
    <r>
      <rPr>
        <sz val="12"/>
        <rFont val="宋体"/>
        <charset val="134"/>
      </rPr>
      <t>经皮经肝穿刺胆囊内引流费</t>
    </r>
    <r>
      <rPr>
        <sz val="12"/>
        <rFont val="Times New Roman"/>
        <charset val="0"/>
      </rPr>
      <t xml:space="preserve">
</t>
    </r>
    <r>
      <rPr>
        <sz val="12"/>
        <rFont val="宋体"/>
        <charset val="134"/>
      </rPr>
      <t>（扩展）</t>
    </r>
  </si>
  <si>
    <t>013310000010000</t>
  </si>
  <si>
    <t>无创胆管外引流费</t>
  </si>
  <si>
    <t>通过无创方式在胆管内放置引流管使胆汁引流至体外。</t>
  </si>
  <si>
    <t>所定价格涵盖设备准备、体位摆放、观察、置管、引流、处理用物等步骤所需的人力资源、设备运转成本和基本物质资源消耗。（不含内镜检查及无创逆行胰胆管造影）</t>
  </si>
  <si>
    <t>013310000010001</t>
  </si>
  <si>
    <r>
      <rPr>
        <sz val="12"/>
        <rFont val="宋体"/>
        <charset val="134"/>
      </rPr>
      <t>无创胆管外引流费</t>
    </r>
    <r>
      <rPr>
        <sz val="12"/>
        <rFont val="Times New Roman"/>
        <charset val="0"/>
      </rPr>
      <t>-</t>
    </r>
    <r>
      <rPr>
        <sz val="12"/>
        <rFont val="宋体"/>
        <charset val="134"/>
      </rPr>
      <t>儿童（加收）</t>
    </r>
  </si>
  <si>
    <t>013310000010011</t>
  </si>
  <si>
    <r>
      <rPr>
        <sz val="12"/>
        <rFont val="宋体"/>
        <charset val="134"/>
      </rPr>
      <t>无创胆管外引流费</t>
    </r>
    <r>
      <rPr>
        <sz val="12"/>
        <rFont val="Times New Roman"/>
        <charset val="0"/>
      </rPr>
      <t>-</t>
    </r>
    <r>
      <rPr>
        <sz val="12"/>
        <rFont val="宋体"/>
        <charset val="134"/>
      </rPr>
      <t>内穿刺引流（加收）</t>
    </r>
  </si>
  <si>
    <t>013310000010100</t>
  </si>
  <si>
    <r>
      <rPr>
        <sz val="12"/>
        <rFont val="宋体"/>
        <charset val="134"/>
      </rPr>
      <t>无创胆管外引流费</t>
    </r>
    <r>
      <rPr>
        <sz val="12"/>
        <rFont val="Times New Roman"/>
        <charset val="0"/>
      </rPr>
      <t>-</t>
    </r>
    <r>
      <rPr>
        <sz val="12"/>
        <rFont val="宋体"/>
        <charset val="134"/>
      </rPr>
      <t>无创胰管外引流（扩展）</t>
    </r>
  </si>
  <si>
    <t>013310000020000</t>
  </si>
  <si>
    <t>无创胆管内引流费</t>
  </si>
  <si>
    <t>通过无创方式在胆管内放置引流管使胆汁引流至体内。</t>
  </si>
  <si>
    <t>013310000020001</t>
  </si>
  <si>
    <r>
      <rPr>
        <sz val="12"/>
        <rFont val="宋体"/>
        <charset val="134"/>
      </rPr>
      <t>无创胆管内引流费</t>
    </r>
    <r>
      <rPr>
        <sz val="12"/>
        <rFont val="Times New Roman"/>
        <charset val="0"/>
      </rPr>
      <t>-</t>
    </r>
    <r>
      <rPr>
        <sz val="12"/>
        <rFont val="宋体"/>
        <charset val="134"/>
      </rPr>
      <t>儿童（加收）</t>
    </r>
  </si>
  <si>
    <t>013310000020011</t>
  </si>
  <si>
    <r>
      <rPr>
        <sz val="12"/>
        <rFont val="宋体"/>
        <charset val="134"/>
      </rPr>
      <t>无创胆管内引流费</t>
    </r>
    <r>
      <rPr>
        <sz val="12"/>
        <rFont val="Times New Roman"/>
        <charset val="0"/>
      </rPr>
      <t>-</t>
    </r>
    <r>
      <rPr>
        <sz val="12"/>
        <rFont val="宋体"/>
        <charset val="134"/>
      </rPr>
      <t>内穿刺引流（加收）</t>
    </r>
  </si>
  <si>
    <t>013310000020100</t>
  </si>
  <si>
    <r>
      <rPr>
        <sz val="12"/>
        <rFont val="宋体"/>
        <charset val="134"/>
      </rPr>
      <t>无创胆管内引流费</t>
    </r>
    <r>
      <rPr>
        <sz val="12"/>
        <rFont val="Times New Roman"/>
        <charset val="0"/>
      </rPr>
      <t>-</t>
    </r>
    <r>
      <rPr>
        <sz val="12"/>
        <rFont val="宋体"/>
        <charset val="134"/>
      </rPr>
      <t>无创胰管内引流（扩展）</t>
    </r>
  </si>
  <si>
    <t>013109000060000</t>
  </si>
  <si>
    <t>腹腔脏器穿刺治疗费（常规）</t>
  </si>
  <si>
    <t>行腹腔脏器穿刺，对病灶组织进行注射、冲洗、引流等常规治疗。</t>
  </si>
  <si>
    <t>所定价格涵盖定位、消毒、穿刺、注射、冲洗、引流、记录、处理用物等所需的人力资源和基本物质资源消耗。</t>
  </si>
  <si>
    <r>
      <rPr>
        <sz val="12"/>
        <rFont val="Times New Roman"/>
        <charset val="0"/>
      </rPr>
      <t>1.</t>
    </r>
    <r>
      <rPr>
        <sz val="12"/>
        <rFont val="宋体"/>
        <charset val="134"/>
      </rPr>
      <t>同一治疗位置行多种治疗方式只可收取一次。</t>
    </r>
    <r>
      <rPr>
        <sz val="12"/>
        <rFont val="Times New Roman"/>
        <charset val="0"/>
      </rPr>
      <t xml:space="preserve">
2.</t>
    </r>
    <r>
      <rPr>
        <sz val="12"/>
        <rFont val="宋体"/>
        <charset val="134"/>
      </rPr>
      <t>胆管、胰管引流按相关项目收费。</t>
    </r>
  </si>
  <si>
    <t>013109000070000</t>
  </si>
  <si>
    <t>腹腔脏器穿刺治疗费（特殊）</t>
  </si>
  <si>
    <t>行腹腔脏器穿刺，对病灶组织进行射频、微波、激光、冷冻、电凝、脉冲等各种特殊治疗。</t>
  </si>
  <si>
    <t>所定价格涵盖定位、消毒、穿刺、治疗、处理用物等步骤所需的人力资源、设备运转成本和基本物质资源消耗。</t>
  </si>
  <si>
    <r>
      <rPr>
        <sz val="12"/>
        <rFont val="Times New Roman"/>
        <charset val="0"/>
      </rPr>
      <t>1.</t>
    </r>
    <r>
      <rPr>
        <sz val="12"/>
        <rFont val="宋体"/>
        <charset val="134"/>
      </rPr>
      <t>同一治疗位置使用多种能量源只可收取一次。</t>
    </r>
    <r>
      <rPr>
        <sz val="12"/>
        <rFont val="Times New Roman"/>
        <charset val="0"/>
      </rPr>
      <t xml:space="preserve">
2.</t>
    </r>
    <r>
      <rPr>
        <sz val="12"/>
        <rFont val="宋体"/>
        <charset val="134"/>
      </rPr>
      <t>针对同一目的，常规治疗转特殊治疗，按照</t>
    </r>
    <r>
      <rPr>
        <sz val="12"/>
        <rFont val="Times New Roman"/>
        <charset val="0"/>
      </rPr>
      <t>“</t>
    </r>
    <r>
      <rPr>
        <sz val="12"/>
        <rFont val="宋体"/>
        <charset val="134"/>
      </rPr>
      <t>腹腔脏器穿刺治疗费（特殊）</t>
    </r>
    <r>
      <rPr>
        <sz val="12"/>
        <rFont val="Times New Roman"/>
        <charset val="0"/>
      </rPr>
      <t>”</t>
    </r>
    <r>
      <rPr>
        <sz val="12"/>
        <rFont val="宋体"/>
        <charset val="134"/>
      </rPr>
      <t>收费。</t>
    </r>
  </si>
  <si>
    <t>013109000080000</t>
  </si>
  <si>
    <t>消化内镜治疗费（常规）</t>
  </si>
  <si>
    <t>通过消化内镜对消化系统病灶行注射、引流、止血、冲洗等常规治疗。</t>
  </si>
  <si>
    <t>所定价格涵盖准备、镜下治疗、处理用物等步骤所需的人力资源和基本物质资源消耗。（不含内镜检查）</t>
  </si>
  <si>
    <r>
      <rPr>
        <sz val="12"/>
        <rFont val="Times New Roman"/>
        <charset val="0"/>
      </rPr>
      <t>1.</t>
    </r>
    <r>
      <rPr>
        <sz val="12"/>
        <rFont val="宋体"/>
        <charset val="134"/>
      </rPr>
      <t>同一治疗位置行多种治疗方式只可收取一次。</t>
    </r>
    <r>
      <rPr>
        <sz val="12"/>
        <rFont val="Times New Roman"/>
        <charset val="0"/>
      </rPr>
      <t xml:space="preserve">
2.</t>
    </r>
    <r>
      <rPr>
        <sz val="12"/>
        <rFont val="宋体"/>
        <charset val="134"/>
      </rPr>
      <t>涉及消化道静脉曲张治疗按照</t>
    </r>
    <r>
      <rPr>
        <sz val="12"/>
        <rFont val="Times New Roman"/>
        <charset val="0"/>
      </rPr>
      <t>“</t>
    </r>
    <r>
      <rPr>
        <sz val="12"/>
        <rFont val="宋体"/>
        <charset val="134"/>
      </rPr>
      <t>消化道静脉曲张治疗费</t>
    </r>
    <r>
      <rPr>
        <sz val="12"/>
        <rFont val="Times New Roman"/>
        <charset val="0"/>
      </rPr>
      <t>”</t>
    </r>
    <r>
      <rPr>
        <sz val="12"/>
        <rFont val="宋体"/>
        <charset val="134"/>
      </rPr>
      <t>收取。</t>
    </r>
    <r>
      <rPr>
        <sz val="12"/>
        <rFont val="Times New Roman"/>
        <charset val="0"/>
      </rPr>
      <t xml:space="preserve">
3.</t>
    </r>
    <r>
      <rPr>
        <sz val="12"/>
        <rFont val="宋体"/>
        <charset val="134"/>
      </rPr>
      <t>胆管、胰管引流按相关项目收费。</t>
    </r>
    <r>
      <rPr>
        <sz val="12"/>
        <rFont val="Times New Roman"/>
        <charset val="0"/>
      </rPr>
      <t xml:space="preserve">
4.</t>
    </r>
    <r>
      <rPr>
        <sz val="12"/>
        <rFont val="宋体"/>
        <charset val="134"/>
      </rPr>
      <t>不同入路治疗可分别收费。</t>
    </r>
  </si>
  <si>
    <t>013109000090000</t>
  </si>
  <si>
    <t>消化内镜治疗费（特殊）</t>
  </si>
  <si>
    <t>通过消化内镜对消化系统病灶行射频、微波、激光、圈套、套扎、冷冻、电凝、脉冲等各种特殊治疗。</t>
  </si>
  <si>
    <t>所定价格涵盖设备准备、体位摆放、镜下治疗、处理用物等步骤所需的人力资源、设备运转成本和基本物质资源消耗。（不含内镜检查）</t>
  </si>
  <si>
    <r>
      <rPr>
        <sz val="12"/>
        <rFont val="Times New Roman"/>
        <charset val="0"/>
      </rPr>
      <t>1.</t>
    </r>
    <r>
      <rPr>
        <sz val="12"/>
        <rFont val="宋体"/>
        <charset val="134"/>
      </rPr>
      <t>同一治疗位置使用多种能量源只可收取一次。</t>
    </r>
    <r>
      <rPr>
        <sz val="12"/>
        <rFont val="Times New Roman"/>
        <charset val="0"/>
      </rPr>
      <t xml:space="preserve">
2.</t>
    </r>
    <r>
      <rPr>
        <sz val="12"/>
        <rFont val="宋体"/>
        <charset val="134"/>
      </rPr>
      <t>针对同一目的，常规治疗转特殊治疗，按照</t>
    </r>
    <r>
      <rPr>
        <sz val="12"/>
        <rFont val="Times New Roman"/>
        <charset val="0"/>
      </rPr>
      <t>“</t>
    </r>
    <r>
      <rPr>
        <sz val="12"/>
        <rFont val="宋体"/>
        <charset val="134"/>
      </rPr>
      <t>消化内镜治疗费（特殊）</t>
    </r>
    <r>
      <rPr>
        <sz val="12"/>
        <rFont val="Times New Roman"/>
        <charset val="0"/>
      </rPr>
      <t>”</t>
    </r>
    <r>
      <rPr>
        <sz val="12"/>
        <rFont val="宋体"/>
        <charset val="134"/>
      </rPr>
      <t>收费。</t>
    </r>
    <r>
      <rPr>
        <sz val="12"/>
        <rFont val="Times New Roman"/>
        <charset val="0"/>
      </rPr>
      <t xml:space="preserve">
3.</t>
    </r>
    <r>
      <rPr>
        <sz val="12"/>
        <rFont val="宋体"/>
        <charset val="134"/>
      </rPr>
      <t>涉及息肉治疗按照</t>
    </r>
    <r>
      <rPr>
        <sz val="12"/>
        <rFont val="Times New Roman"/>
        <charset val="0"/>
      </rPr>
      <t>“</t>
    </r>
    <r>
      <rPr>
        <sz val="12"/>
        <rFont val="宋体"/>
        <charset val="134"/>
      </rPr>
      <t>无创消化道息肉去除费</t>
    </r>
    <r>
      <rPr>
        <sz val="12"/>
        <rFont val="Times New Roman"/>
        <charset val="0"/>
      </rPr>
      <t>”</t>
    </r>
    <r>
      <rPr>
        <sz val="12"/>
        <rFont val="宋体"/>
        <charset val="134"/>
      </rPr>
      <t>或</t>
    </r>
    <r>
      <rPr>
        <sz val="12"/>
        <rFont val="Times New Roman"/>
        <charset val="0"/>
      </rPr>
      <t>“</t>
    </r>
    <r>
      <rPr>
        <sz val="12"/>
        <rFont val="宋体"/>
        <charset val="134"/>
      </rPr>
      <t>无创消化道病变切除费</t>
    </r>
    <r>
      <rPr>
        <sz val="12"/>
        <rFont val="Times New Roman"/>
        <charset val="0"/>
      </rPr>
      <t>”</t>
    </r>
    <r>
      <rPr>
        <sz val="12"/>
        <rFont val="宋体"/>
        <charset val="134"/>
      </rPr>
      <t>收取。</t>
    </r>
    <r>
      <rPr>
        <sz val="12"/>
        <rFont val="Times New Roman"/>
        <charset val="0"/>
      </rPr>
      <t xml:space="preserve">
4.</t>
    </r>
    <r>
      <rPr>
        <sz val="12"/>
        <rFont val="宋体"/>
        <charset val="134"/>
      </rPr>
      <t>涉及消化道静脉曲张治疗按照</t>
    </r>
    <r>
      <rPr>
        <sz val="12"/>
        <rFont val="Times New Roman"/>
        <charset val="0"/>
      </rPr>
      <t>“</t>
    </r>
    <r>
      <rPr>
        <sz val="12"/>
        <rFont val="宋体"/>
        <charset val="134"/>
      </rPr>
      <t>消化道静脉曲张治疗费</t>
    </r>
    <r>
      <rPr>
        <sz val="12"/>
        <rFont val="Times New Roman"/>
        <charset val="0"/>
      </rPr>
      <t>”</t>
    </r>
    <r>
      <rPr>
        <sz val="12"/>
        <rFont val="宋体"/>
        <charset val="134"/>
      </rPr>
      <t>收取。</t>
    </r>
    <r>
      <rPr>
        <sz val="12"/>
        <rFont val="Times New Roman"/>
        <charset val="0"/>
      </rPr>
      <t xml:space="preserve">
5.</t>
    </r>
    <r>
      <rPr>
        <sz val="12"/>
        <rFont val="宋体"/>
        <charset val="134"/>
      </rPr>
      <t>不同入路治疗可分别收费。</t>
    </r>
  </si>
  <si>
    <t>013310000030000</t>
  </si>
  <si>
    <t>无创消化道静脉曲张治疗费</t>
  </si>
  <si>
    <t>通过无创方式，利用硬化、组织粘合、套扎等手段治疗消化道静脉曲张。</t>
  </si>
  <si>
    <t>所定价格涵盖准备、治疗、处理用物等步骤所需的人力资源和基本物质资源消耗。（不含内镜检查）</t>
  </si>
  <si>
    <r>
      <rPr>
        <sz val="12"/>
        <rFont val="宋体"/>
        <charset val="134"/>
      </rPr>
      <t>治疗消化道静脉曲张使用多种治疗方式只可收取</t>
    </r>
    <r>
      <rPr>
        <sz val="12"/>
        <rFont val="Times New Roman"/>
        <charset val="0"/>
      </rPr>
      <t>1</t>
    </r>
    <r>
      <rPr>
        <sz val="12"/>
        <rFont val="宋体"/>
        <charset val="134"/>
      </rPr>
      <t>次。</t>
    </r>
  </si>
  <si>
    <t>013310000030001</t>
  </si>
  <si>
    <r>
      <rPr>
        <sz val="12"/>
        <rFont val="宋体"/>
        <charset val="134"/>
      </rPr>
      <t>无创消化道静脉曲张治疗费</t>
    </r>
    <r>
      <rPr>
        <sz val="12"/>
        <rFont val="Times New Roman"/>
        <charset val="0"/>
      </rPr>
      <t>-</t>
    </r>
    <r>
      <rPr>
        <sz val="12"/>
        <rFont val="宋体"/>
        <charset val="134"/>
      </rPr>
      <t>儿童（加收）</t>
    </r>
  </si>
  <si>
    <t>013310000040000</t>
  </si>
  <si>
    <t>无创消化道息肉去除费</t>
  </si>
  <si>
    <t>通过无创方式，运用切除、钳除、圈套、激光、微波、电凝、冷冻、电切等各种手段去除消化道粘膜表面息肉。</t>
  </si>
  <si>
    <t>所定价格涵盖设备准备、体位摆放、镜下祛除、创面处理、处理用物等步骤所需的人力资源、设备运转成本和基本物质资源消耗。（不含内镜检查）</t>
  </si>
  <si>
    <r>
      <rPr>
        <sz val="12"/>
        <rFont val="宋体"/>
        <charset val="134"/>
      </rPr>
      <t>部位</t>
    </r>
    <r>
      <rPr>
        <sz val="12"/>
        <rFont val="Times New Roman"/>
        <charset val="0"/>
      </rPr>
      <t>/</t>
    </r>
    <r>
      <rPr>
        <sz val="12"/>
        <rFont val="宋体"/>
        <charset val="134"/>
      </rPr>
      <t>次</t>
    </r>
  </si>
  <si>
    <r>
      <rPr>
        <sz val="12"/>
        <rFont val="Times New Roman"/>
        <charset val="0"/>
      </rPr>
      <t>“</t>
    </r>
    <r>
      <rPr>
        <sz val="12"/>
        <rFont val="宋体"/>
        <charset val="134"/>
      </rPr>
      <t>次</t>
    </r>
    <r>
      <rPr>
        <sz val="12"/>
        <rFont val="Times New Roman"/>
        <charset val="0"/>
      </rPr>
      <t>”</t>
    </r>
    <r>
      <rPr>
        <sz val="12"/>
        <rFont val="宋体"/>
        <charset val="134"/>
      </rPr>
      <t>指息肉数小于等于</t>
    </r>
    <r>
      <rPr>
        <sz val="12"/>
        <rFont val="Times New Roman"/>
        <charset val="0"/>
      </rPr>
      <t>3</t>
    </r>
    <r>
      <rPr>
        <sz val="12"/>
        <rFont val="宋体"/>
        <charset val="134"/>
      </rPr>
      <t>个，每增加</t>
    </r>
    <r>
      <rPr>
        <sz val="12"/>
        <rFont val="Times New Roman"/>
        <charset val="0"/>
      </rPr>
      <t>1</t>
    </r>
    <r>
      <rPr>
        <sz val="12"/>
        <rFont val="宋体"/>
        <charset val="134"/>
      </rPr>
      <t>个按</t>
    </r>
    <r>
      <rPr>
        <sz val="12"/>
        <rFont val="Times New Roman"/>
        <charset val="0"/>
      </rPr>
      <t>30%</t>
    </r>
    <r>
      <rPr>
        <sz val="12"/>
        <rFont val="宋体"/>
        <charset val="134"/>
      </rPr>
      <t>加收，以</t>
    </r>
    <r>
      <rPr>
        <sz val="12"/>
        <rFont val="Times New Roman"/>
        <charset val="0"/>
      </rPr>
      <t>10</t>
    </r>
    <r>
      <rPr>
        <sz val="12"/>
        <rFont val="方正书宋_GBK"/>
        <charset val="134"/>
      </rPr>
      <t>个息肉为封顶线</t>
    </r>
    <r>
      <rPr>
        <sz val="12"/>
        <rFont val="宋体"/>
        <charset val="134"/>
      </rPr>
      <t>。</t>
    </r>
  </si>
  <si>
    <t>013310000040001</t>
  </si>
  <si>
    <r>
      <rPr>
        <sz val="12"/>
        <rFont val="宋体"/>
        <charset val="134"/>
      </rPr>
      <t>无创消化道息肉去除费</t>
    </r>
    <r>
      <rPr>
        <sz val="12"/>
        <rFont val="Times New Roman"/>
        <charset val="0"/>
      </rPr>
      <t>-</t>
    </r>
    <r>
      <rPr>
        <sz val="12"/>
        <rFont val="宋体"/>
        <charset val="134"/>
      </rPr>
      <t>儿童（加收）</t>
    </r>
  </si>
  <si>
    <t>013310000050000</t>
  </si>
  <si>
    <t>无创消化道病变切除费</t>
  </si>
  <si>
    <t>通过无创方式切除消化道黏膜层、黏膜下层或更深层的病变。</t>
  </si>
  <si>
    <t>所定价格涵盖准备、观察、黏膜剥离、切除、创面处理、处理用物等步骤所需的人力资源和基本物质资源消耗。（不含内镜检查）</t>
  </si>
  <si>
    <r>
      <rPr>
        <sz val="12"/>
        <rFont val="宋体"/>
        <charset val="134"/>
      </rPr>
      <t>同一部位的多发病灶可按</t>
    </r>
    <r>
      <rPr>
        <sz val="12"/>
        <rFont val="Times New Roman"/>
        <charset val="0"/>
      </rPr>
      <t>50%</t>
    </r>
    <r>
      <rPr>
        <sz val="12"/>
        <rFont val="宋体"/>
        <charset val="134"/>
      </rPr>
      <t>加收。</t>
    </r>
  </si>
  <si>
    <t>013310000050001</t>
  </si>
  <si>
    <r>
      <rPr>
        <sz val="12"/>
        <rFont val="宋体"/>
        <charset val="134"/>
      </rPr>
      <t>无创消化道病变切除费</t>
    </r>
    <r>
      <rPr>
        <sz val="12"/>
        <rFont val="Times New Roman"/>
        <charset val="0"/>
      </rPr>
      <t>-</t>
    </r>
    <r>
      <rPr>
        <sz val="12"/>
        <rFont val="宋体"/>
        <charset val="134"/>
      </rPr>
      <t>儿童（加收）</t>
    </r>
  </si>
  <si>
    <t>013310000050011</t>
  </si>
  <si>
    <r>
      <rPr>
        <sz val="12"/>
        <rFont val="宋体"/>
        <charset val="134"/>
      </rPr>
      <t>无创消化道病变切除费</t>
    </r>
    <r>
      <rPr>
        <sz val="12"/>
        <rFont val="Times New Roman"/>
        <charset val="0"/>
      </rPr>
      <t>-</t>
    </r>
    <r>
      <rPr>
        <sz val="12"/>
        <rFont val="宋体"/>
        <charset val="134"/>
      </rPr>
      <t>黏膜下隧道病变切除（加收）</t>
    </r>
  </si>
  <si>
    <t>013310000060000</t>
  </si>
  <si>
    <t>无创消化道缺损闭合费</t>
  </si>
  <si>
    <t>通过无创方式修补闭合消化道缺损。</t>
  </si>
  <si>
    <t>所定价格涵盖准备、观察、修补闭合、创面处理、处理用物等步骤所需的人力资源和基本物质资源消耗。（不含内镜检查）</t>
  </si>
  <si>
    <t>013310000060001</t>
  </si>
  <si>
    <r>
      <rPr>
        <sz val="12"/>
        <rFont val="宋体"/>
        <charset val="134"/>
      </rPr>
      <t>无创消化道缺损闭合费</t>
    </r>
    <r>
      <rPr>
        <sz val="12"/>
        <rFont val="Times New Roman"/>
        <charset val="0"/>
      </rPr>
      <t>-</t>
    </r>
    <r>
      <rPr>
        <sz val="12"/>
        <rFont val="宋体"/>
        <charset val="134"/>
      </rPr>
      <t>儿童（加收）</t>
    </r>
  </si>
  <si>
    <t>013310000070000</t>
  </si>
  <si>
    <t>无创消化道异物取出费</t>
  </si>
  <si>
    <t>通过无创方式取出消化道异物。</t>
  </si>
  <si>
    <t>所定价格涵盖准备、观察、异物取出、处理用物，必要时切开等步骤所需的人力资源和基本物质资源消耗。（不含内镜检查）</t>
  </si>
  <si>
    <r>
      <rPr>
        <sz val="12"/>
        <rFont val="宋体"/>
        <charset val="134"/>
      </rPr>
      <t>同一治疗部位只能收取</t>
    </r>
    <r>
      <rPr>
        <sz val="12"/>
        <rFont val="Times New Roman"/>
        <charset val="0"/>
      </rPr>
      <t>1</t>
    </r>
    <r>
      <rPr>
        <sz val="12"/>
        <rFont val="宋体"/>
        <charset val="134"/>
      </rPr>
      <t>次费用。</t>
    </r>
  </si>
  <si>
    <t>013310000070001</t>
  </si>
  <si>
    <r>
      <rPr>
        <sz val="12"/>
        <rFont val="宋体"/>
        <charset val="134"/>
      </rPr>
      <t>无创消化道异物取出费</t>
    </r>
    <r>
      <rPr>
        <sz val="12"/>
        <rFont val="Times New Roman"/>
        <charset val="0"/>
      </rPr>
      <t>-</t>
    </r>
    <r>
      <rPr>
        <sz val="12"/>
        <rFont val="宋体"/>
        <charset val="134"/>
      </rPr>
      <t>儿童（加收）</t>
    </r>
  </si>
  <si>
    <t>013310000070011</t>
  </si>
  <si>
    <r>
      <rPr>
        <sz val="12"/>
        <rFont val="宋体"/>
        <charset val="134"/>
      </rPr>
      <t>无创消化道异物取出费</t>
    </r>
    <r>
      <rPr>
        <sz val="12"/>
        <rFont val="Times New Roman"/>
        <charset val="0"/>
      </rPr>
      <t>-</t>
    </r>
    <r>
      <rPr>
        <sz val="12"/>
        <rFont val="宋体"/>
        <charset val="134"/>
      </rPr>
      <t>异物直径大于</t>
    </r>
    <r>
      <rPr>
        <sz val="12"/>
        <rFont val="Times New Roman"/>
        <charset val="0"/>
      </rPr>
      <t>5cm</t>
    </r>
    <r>
      <rPr>
        <sz val="12"/>
        <rFont val="宋体"/>
        <charset val="134"/>
      </rPr>
      <t>（加收）</t>
    </r>
  </si>
  <si>
    <t>013310000080000</t>
  </si>
  <si>
    <t>无创消化道扩张费</t>
  </si>
  <si>
    <t>通过无创方式利用球囊等对消化道狭窄进行扩张。</t>
  </si>
  <si>
    <t>所定价格涵盖准备、观察、狭部扩张、处理用物等步骤所需的人力资源和基本物质资源消耗。（不含内镜检查）</t>
  </si>
  <si>
    <t>013310000080001</t>
  </si>
  <si>
    <r>
      <rPr>
        <sz val="12"/>
        <rFont val="宋体"/>
        <charset val="134"/>
      </rPr>
      <t>无创消化道扩张费</t>
    </r>
    <r>
      <rPr>
        <sz val="12"/>
        <rFont val="Times New Roman"/>
        <charset val="0"/>
      </rPr>
      <t>-</t>
    </r>
    <r>
      <rPr>
        <sz val="12"/>
        <rFont val="宋体"/>
        <charset val="134"/>
      </rPr>
      <t>儿童（加收）</t>
    </r>
  </si>
  <si>
    <t>013310000080011</t>
  </si>
  <si>
    <r>
      <rPr>
        <sz val="12"/>
        <rFont val="宋体"/>
        <charset val="134"/>
      </rPr>
      <t>无创消化道扩张费</t>
    </r>
    <r>
      <rPr>
        <sz val="12"/>
        <rFont val="Times New Roman"/>
        <charset val="0"/>
      </rPr>
      <t>-</t>
    </r>
    <r>
      <rPr>
        <sz val="12"/>
        <rFont val="宋体"/>
        <charset val="134"/>
      </rPr>
      <t>胆管扩张（加收）</t>
    </r>
  </si>
  <si>
    <t>013310000080021</t>
  </si>
  <si>
    <r>
      <rPr>
        <sz val="12"/>
        <rFont val="宋体"/>
        <charset val="134"/>
      </rPr>
      <t>无创消化道扩张费</t>
    </r>
    <r>
      <rPr>
        <sz val="12"/>
        <rFont val="Times New Roman"/>
        <charset val="0"/>
      </rPr>
      <t>-</t>
    </r>
    <r>
      <rPr>
        <sz val="12"/>
        <rFont val="宋体"/>
        <charset val="134"/>
      </rPr>
      <t>胰管扩张（加收）</t>
    </r>
  </si>
  <si>
    <t>013310000080031</t>
  </si>
  <si>
    <r>
      <rPr>
        <sz val="12"/>
        <rFont val="宋体"/>
        <charset val="134"/>
      </rPr>
      <t>无创消化道扩张费</t>
    </r>
    <r>
      <rPr>
        <sz val="12"/>
        <rFont val="Times New Roman"/>
        <charset val="0"/>
      </rPr>
      <t>-</t>
    </r>
    <r>
      <rPr>
        <sz val="12"/>
        <rFont val="宋体"/>
        <charset val="134"/>
      </rPr>
      <t>胆囊扩张（加收）</t>
    </r>
  </si>
  <si>
    <t>013310000090000</t>
  </si>
  <si>
    <t>无创消化道支架置入费</t>
  </si>
  <si>
    <t>通过无创方式在消化道置入支架。</t>
  </si>
  <si>
    <t>所定价格涵盖准备、观察、必要时狭部扩张、支架置入、处理用物等步骤所需的人力资源和基本物质资源消耗。（不含内镜检查）</t>
  </si>
  <si>
    <r>
      <rPr>
        <sz val="12"/>
        <rFont val="Times New Roman"/>
        <charset val="0"/>
      </rPr>
      <t>1.</t>
    </r>
    <r>
      <rPr>
        <sz val="12"/>
        <rFont val="宋体"/>
        <charset val="134"/>
      </rPr>
      <t>同一治疗部位只能收取</t>
    </r>
    <r>
      <rPr>
        <sz val="12"/>
        <rFont val="Times New Roman"/>
        <charset val="0"/>
      </rPr>
      <t>1</t>
    </r>
    <r>
      <rPr>
        <sz val="12"/>
        <rFont val="宋体"/>
        <charset val="134"/>
      </rPr>
      <t>次费用。</t>
    </r>
    <r>
      <rPr>
        <sz val="12"/>
        <rFont val="Times New Roman"/>
        <charset val="0"/>
      </rPr>
      <t xml:space="preserve">
2.</t>
    </r>
    <r>
      <rPr>
        <sz val="12"/>
        <rFont val="宋体"/>
        <charset val="134"/>
      </rPr>
      <t>含无创消化道扩张费。</t>
    </r>
  </si>
  <si>
    <t>013310000090001</t>
  </si>
  <si>
    <r>
      <rPr>
        <sz val="12"/>
        <rFont val="宋体"/>
        <charset val="134"/>
      </rPr>
      <t>无创消化道支架置入费</t>
    </r>
    <r>
      <rPr>
        <sz val="12"/>
        <rFont val="Times New Roman"/>
        <charset val="0"/>
      </rPr>
      <t>-</t>
    </r>
    <r>
      <rPr>
        <sz val="12"/>
        <rFont val="宋体"/>
        <charset val="134"/>
      </rPr>
      <t>儿童（加收）</t>
    </r>
  </si>
  <si>
    <t>013310000090011</t>
  </si>
  <si>
    <r>
      <rPr>
        <sz val="12"/>
        <rFont val="宋体"/>
        <charset val="134"/>
      </rPr>
      <t>无创消化道支架置入费</t>
    </r>
    <r>
      <rPr>
        <sz val="12"/>
        <rFont val="Times New Roman"/>
        <charset val="0"/>
      </rPr>
      <t>-</t>
    </r>
    <r>
      <rPr>
        <sz val="12"/>
        <rFont val="宋体"/>
        <charset val="134"/>
      </rPr>
      <t>胆管支架置入（加收）</t>
    </r>
  </si>
  <si>
    <t>013310000090021</t>
  </si>
  <si>
    <r>
      <rPr>
        <sz val="12"/>
        <rFont val="宋体"/>
        <charset val="134"/>
      </rPr>
      <t>无创消化道支架置入费</t>
    </r>
    <r>
      <rPr>
        <sz val="12"/>
        <rFont val="Times New Roman"/>
        <charset val="0"/>
      </rPr>
      <t>-</t>
    </r>
    <r>
      <rPr>
        <sz val="12"/>
        <rFont val="宋体"/>
        <charset val="134"/>
      </rPr>
      <t>胰管支架置入（加收）</t>
    </r>
  </si>
  <si>
    <t>013310000090031</t>
  </si>
  <si>
    <r>
      <rPr>
        <sz val="12"/>
        <rFont val="宋体"/>
        <charset val="134"/>
      </rPr>
      <t>无创消化道支架置入费</t>
    </r>
    <r>
      <rPr>
        <sz val="12"/>
        <rFont val="Times New Roman"/>
        <charset val="0"/>
      </rPr>
      <t>-</t>
    </r>
    <r>
      <rPr>
        <sz val="12"/>
        <rFont val="宋体"/>
        <charset val="134"/>
      </rPr>
      <t>胆囊支架置入（加收）</t>
    </r>
  </si>
  <si>
    <t>013310000100000</t>
  </si>
  <si>
    <t>无创消化道支架取出费</t>
  </si>
  <si>
    <t>通过无创方式自消化道取出支架。</t>
  </si>
  <si>
    <t>所定价格涵盖准备、观察、支架取出、处理用物等步骤所需的人力资源和基本物质资源消耗。（不含内镜检查）</t>
  </si>
  <si>
    <t>013310000100001</t>
  </si>
  <si>
    <r>
      <rPr>
        <sz val="12"/>
        <rFont val="宋体"/>
        <charset val="134"/>
      </rPr>
      <t>无创消化道支架取出费</t>
    </r>
    <r>
      <rPr>
        <sz val="12"/>
        <rFont val="Times New Roman"/>
        <charset val="0"/>
      </rPr>
      <t>-</t>
    </r>
    <r>
      <rPr>
        <sz val="12"/>
        <rFont val="宋体"/>
        <charset val="134"/>
      </rPr>
      <t>儿童（加收）</t>
    </r>
  </si>
  <si>
    <t>013310000100100</t>
  </si>
  <si>
    <r>
      <rPr>
        <sz val="12"/>
        <rFont val="宋体"/>
        <charset val="134"/>
      </rPr>
      <t>无创消化道支架取出费</t>
    </r>
    <r>
      <rPr>
        <sz val="12"/>
        <rFont val="Times New Roman"/>
        <charset val="0"/>
      </rPr>
      <t>-</t>
    </r>
    <r>
      <rPr>
        <sz val="12"/>
        <rFont val="宋体"/>
        <charset val="134"/>
      </rPr>
      <t>经皮穿刺支架取出（扩展）</t>
    </r>
  </si>
  <si>
    <t>013310000110000</t>
  </si>
  <si>
    <t>无创消化道狭窄切开费</t>
  </si>
  <si>
    <t>通过无创方式进入消化道切开狭窄部位。</t>
  </si>
  <si>
    <t>所定价格涵盖准备、观察、切开、处理用物等步骤所需的人力资源和基本物质资源消耗。（不含内镜检查）</t>
  </si>
  <si>
    <t>013310000110001</t>
  </si>
  <si>
    <r>
      <rPr>
        <sz val="12"/>
        <rFont val="宋体"/>
        <charset val="134"/>
      </rPr>
      <t>无创消化道狭窄切开费</t>
    </r>
    <r>
      <rPr>
        <sz val="12"/>
        <rFont val="Times New Roman"/>
        <charset val="0"/>
      </rPr>
      <t>-</t>
    </r>
    <r>
      <rPr>
        <sz val="12"/>
        <rFont val="宋体"/>
        <charset val="134"/>
      </rPr>
      <t>儿童（加收）</t>
    </r>
  </si>
  <si>
    <t>013310000120000</t>
  </si>
  <si>
    <t>无创胆管结石取出费</t>
  </si>
  <si>
    <t>通过无创方式将胆管内结石取出。</t>
  </si>
  <si>
    <t>所定价格涵盖设备准备、体位摆放、观察、体内碎石、取石、处理用物等步骤所需的人力资源、设备运转成本与基本物质资源消耗。（不含内镜检查、无创逆行胰胆管造影、无创消化道肌切开）</t>
  </si>
  <si>
    <t>013310000120001</t>
  </si>
  <si>
    <r>
      <rPr>
        <sz val="12"/>
        <rFont val="宋体"/>
        <charset val="134"/>
      </rPr>
      <t>无创胆管结石取出费</t>
    </r>
    <r>
      <rPr>
        <sz val="12"/>
        <rFont val="Times New Roman"/>
        <charset val="0"/>
      </rPr>
      <t>-</t>
    </r>
    <r>
      <rPr>
        <sz val="12"/>
        <rFont val="宋体"/>
        <charset val="134"/>
      </rPr>
      <t>儿童（加收）</t>
    </r>
  </si>
  <si>
    <t>013310000120100</t>
  </si>
  <si>
    <r>
      <rPr>
        <sz val="12"/>
        <rFont val="宋体"/>
        <charset val="134"/>
      </rPr>
      <t>无创胆管结石取出费</t>
    </r>
    <r>
      <rPr>
        <sz val="12"/>
        <rFont val="Times New Roman"/>
        <charset val="0"/>
      </rPr>
      <t>-</t>
    </r>
    <r>
      <rPr>
        <sz val="12"/>
        <rFont val="宋体"/>
        <charset val="134"/>
      </rPr>
      <t>无创胰管取石</t>
    </r>
    <r>
      <rPr>
        <sz val="12"/>
        <rFont val="Times New Roman"/>
        <charset val="0"/>
      </rPr>
      <t xml:space="preserve">
</t>
    </r>
    <r>
      <rPr>
        <sz val="12"/>
        <rFont val="宋体"/>
        <charset val="134"/>
      </rPr>
      <t>（扩展）</t>
    </r>
  </si>
  <si>
    <t>013310000130000</t>
  </si>
  <si>
    <t>无创保胆取石费</t>
  </si>
  <si>
    <t>通过无创方式将胆囊内结石取出。</t>
  </si>
  <si>
    <t>所定价格涵盖设备准备、体位摆放、观察、体内碎石、取石、处理用物等步骤所需的人力资源、设备运转成本与基本物质资源消耗。（不含内镜检查与无创逆行胰胆管造影）</t>
  </si>
  <si>
    <t>013310000130001</t>
  </si>
  <si>
    <r>
      <rPr>
        <sz val="12"/>
        <rFont val="宋体"/>
        <charset val="134"/>
      </rPr>
      <t>无创保胆取石费</t>
    </r>
    <r>
      <rPr>
        <sz val="12"/>
        <rFont val="Times New Roman"/>
        <charset val="0"/>
      </rPr>
      <t>-</t>
    </r>
    <r>
      <rPr>
        <sz val="12"/>
        <rFont val="宋体"/>
        <charset val="134"/>
      </rPr>
      <t>儿童（加收）</t>
    </r>
  </si>
  <si>
    <t>013310000140000</t>
  </si>
  <si>
    <t>经皮穿刺胆囊碎石取石费</t>
  </si>
  <si>
    <t>通过经皮穿刺进入胆囊碎石后并取出。</t>
  </si>
  <si>
    <r>
      <rPr>
        <sz val="12"/>
        <rFont val="宋体"/>
        <charset val="134"/>
      </rPr>
      <t>所定价格涵盖设备准备、体位摆放、穿刺、观察、体内碎石、取石、置管引流、处理用物等步骤所需的人力资源、设备运转成本与基本物质资源消耗。</t>
    </r>
    <r>
      <rPr>
        <sz val="12"/>
        <rFont val="Times New Roman"/>
        <charset val="0"/>
      </rPr>
      <t xml:space="preserve"> </t>
    </r>
    <r>
      <rPr>
        <sz val="12"/>
        <rFont val="宋体"/>
        <charset val="134"/>
      </rPr>
      <t>（不含内镜检查）</t>
    </r>
  </si>
  <si>
    <t>013310000140001</t>
  </si>
  <si>
    <r>
      <rPr>
        <sz val="12"/>
        <rFont val="宋体"/>
        <charset val="134"/>
      </rPr>
      <t>经皮穿刺胆囊碎石取石费</t>
    </r>
    <r>
      <rPr>
        <sz val="12"/>
        <rFont val="Times New Roman"/>
        <charset val="0"/>
      </rPr>
      <t>-</t>
    </r>
    <r>
      <rPr>
        <sz val="12"/>
        <rFont val="宋体"/>
        <charset val="134"/>
      </rPr>
      <t>儿童（加收）</t>
    </r>
  </si>
  <si>
    <t>013310000140100</t>
  </si>
  <si>
    <r>
      <rPr>
        <sz val="12"/>
        <rFont val="宋体"/>
        <charset val="134"/>
      </rPr>
      <t>经皮穿刺胆囊碎石取石费</t>
    </r>
    <r>
      <rPr>
        <sz val="12"/>
        <rFont val="Times New Roman"/>
        <charset val="0"/>
      </rPr>
      <t>-</t>
    </r>
    <r>
      <rPr>
        <sz val="12"/>
        <rFont val="宋体"/>
        <charset val="134"/>
      </rPr>
      <t>经皮穿刺胆管碎石取石费（扩展）</t>
    </r>
  </si>
  <si>
    <t>013310000150000</t>
  </si>
  <si>
    <t>无创消化道肌切开费</t>
  </si>
  <si>
    <t>通过无创方式进入消化道切开括约肌等肌肉。</t>
  </si>
  <si>
    <t>013310000150001</t>
  </si>
  <si>
    <r>
      <rPr>
        <sz val="12"/>
        <rFont val="宋体"/>
        <charset val="134"/>
      </rPr>
      <t>无创消化道肌切开费</t>
    </r>
    <r>
      <rPr>
        <sz val="12"/>
        <rFont val="Times New Roman"/>
        <charset val="0"/>
      </rPr>
      <t>-</t>
    </r>
    <r>
      <rPr>
        <sz val="12"/>
        <rFont val="宋体"/>
        <charset val="134"/>
      </rPr>
      <t>儿童（加收）</t>
    </r>
  </si>
  <si>
    <t>013310000160000</t>
  </si>
  <si>
    <r>
      <rPr>
        <sz val="12"/>
        <rFont val="宋体"/>
        <charset val="134"/>
      </rPr>
      <t>无创消化道造瘘</t>
    </r>
    <r>
      <rPr>
        <sz val="12"/>
        <rFont val="Times New Roman"/>
        <charset val="0"/>
      </rPr>
      <t>/</t>
    </r>
    <r>
      <rPr>
        <sz val="12"/>
        <rFont val="宋体"/>
        <charset val="134"/>
      </rPr>
      <t>口置管费</t>
    </r>
  </si>
  <si>
    <t>通过无创方式进入消化道，在消化道造口并置入营养管。</t>
  </si>
  <si>
    <t>所定价格涵盖准备、观察、穿刺、置管、固定、处理用物等步骤所需的人力资源和基本物质资源消耗。（不含内镜检查）</t>
  </si>
  <si>
    <t>013310000160001</t>
  </si>
  <si>
    <r>
      <rPr>
        <sz val="12"/>
        <rFont val="宋体"/>
        <charset val="134"/>
      </rPr>
      <t>无创消化道造瘘</t>
    </r>
    <r>
      <rPr>
        <sz val="12"/>
        <rFont val="Times New Roman"/>
        <charset val="0"/>
      </rPr>
      <t>/</t>
    </r>
    <r>
      <rPr>
        <sz val="12"/>
        <rFont val="宋体"/>
        <charset val="134"/>
      </rPr>
      <t>口置管费</t>
    </r>
    <r>
      <rPr>
        <sz val="12"/>
        <rFont val="Times New Roman"/>
        <charset val="0"/>
      </rPr>
      <t>-</t>
    </r>
    <r>
      <rPr>
        <sz val="12"/>
        <rFont val="宋体"/>
        <charset val="134"/>
      </rPr>
      <t>儿童（加收）</t>
    </r>
  </si>
  <si>
    <t>013310000170000</t>
  </si>
  <si>
    <r>
      <rPr>
        <sz val="12"/>
        <rFont val="宋体"/>
        <charset val="134"/>
      </rPr>
      <t>无创消化道造瘘</t>
    </r>
    <r>
      <rPr>
        <sz val="12"/>
        <rFont val="Times New Roman"/>
        <charset val="0"/>
      </rPr>
      <t>/</t>
    </r>
    <r>
      <rPr>
        <sz val="12"/>
        <rFont val="宋体"/>
        <charset val="134"/>
      </rPr>
      <t>口管取出费</t>
    </r>
  </si>
  <si>
    <t>通过无创方式进入消化道，取出置入的营养管。</t>
  </si>
  <si>
    <t>所定价格涵盖准备、观察、取出、处理用物等步骤所需的人力资源和基本物质资源消耗。（不含内镜检查）</t>
  </si>
  <si>
    <t>013310000170001</t>
  </si>
  <si>
    <r>
      <rPr>
        <sz val="12"/>
        <rFont val="宋体"/>
        <charset val="134"/>
      </rPr>
      <t>无创消化道造瘘</t>
    </r>
    <r>
      <rPr>
        <sz val="12"/>
        <rFont val="Times New Roman"/>
        <charset val="0"/>
      </rPr>
      <t>/</t>
    </r>
    <r>
      <rPr>
        <sz val="12"/>
        <rFont val="宋体"/>
        <charset val="134"/>
      </rPr>
      <t>口管取出费</t>
    </r>
    <r>
      <rPr>
        <sz val="12"/>
        <rFont val="Times New Roman"/>
        <charset val="0"/>
      </rPr>
      <t>-</t>
    </r>
    <r>
      <rPr>
        <sz val="12"/>
        <rFont val="宋体"/>
        <charset val="134"/>
      </rPr>
      <t>儿童（加收）</t>
    </r>
  </si>
  <si>
    <t>013310000170100</t>
  </si>
  <si>
    <r>
      <rPr>
        <sz val="12"/>
        <rFont val="宋体"/>
        <charset val="134"/>
      </rPr>
      <t>无创消化道造瘘</t>
    </r>
    <r>
      <rPr>
        <sz val="12"/>
        <rFont val="Times New Roman"/>
        <charset val="0"/>
      </rPr>
      <t>/</t>
    </r>
    <r>
      <rPr>
        <sz val="12"/>
        <rFont val="宋体"/>
        <charset val="134"/>
      </rPr>
      <t>口管取出费</t>
    </r>
    <r>
      <rPr>
        <sz val="12"/>
        <rFont val="Times New Roman"/>
        <charset val="0"/>
      </rPr>
      <t>-</t>
    </r>
    <r>
      <rPr>
        <sz val="12"/>
        <rFont val="宋体"/>
        <charset val="134"/>
      </rPr>
      <t>无创消化道造瘘</t>
    </r>
    <r>
      <rPr>
        <sz val="12"/>
        <rFont val="Times New Roman"/>
        <charset val="0"/>
      </rPr>
      <t>/</t>
    </r>
    <r>
      <rPr>
        <sz val="12"/>
        <rFont val="宋体"/>
        <charset val="134"/>
      </rPr>
      <t>口管调整（扩展）</t>
    </r>
  </si>
  <si>
    <t>013310000180000</t>
  </si>
  <si>
    <t>无创消化道置管更换费</t>
  </si>
  <si>
    <r>
      <rPr>
        <sz val="12"/>
        <rFont val="宋体"/>
        <charset val="134"/>
      </rPr>
      <t>通过无创方式进入消化道，置换消化道造瘘</t>
    </r>
    <r>
      <rPr>
        <sz val="12"/>
        <rFont val="Times New Roman"/>
        <charset val="0"/>
      </rPr>
      <t>/</t>
    </r>
    <r>
      <rPr>
        <sz val="12"/>
        <rFont val="宋体"/>
        <charset val="134"/>
      </rPr>
      <t>口管。</t>
    </r>
  </si>
  <si>
    <t>所定价格涵盖准备、观察、拔管、置新管、固定、处理用物等步骤所需的人力资源和基本物质资源消耗。（不含内镜检查）</t>
  </si>
  <si>
    <t>013310000180001</t>
  </si>
  <si>
    <r>
      <rPr>
        <sz val="12"/>
        <rFont val="宋体"/>
        <charset val="134"/>
      </rPr>
      <t>无创消化道置管更换费</t>
    </r>
    <r>
      <rPr>
        <sz val="12"/>
        <rFont val="Times New Roman"/>
        <charset val="0"/>
      </rPr>
      <t>-</t>
    </r>
    <r>
      <rPr>
        <sz val="12"/>
        <rFont val="宋体"/>
        <charset val="134"/>
      </rPr>
      <t>儿童（加收）</t>
    </r>
  </si>
  <si>
    <t>013310000190000</t>
  </si>
  <si>
    <t>无创胃空肠吻合费</t>
  </si>
  <si>
    <t>通过无创方式进入消化道，建立胃与空肠之间的通路。</t>
  </si>
  <si>
    <r>
      <rPr>
        <sz val="12"/>
        <rFont val="宋体"/>
        <charset val="134"/>
      </rPr>
      <t>所定价格涵盖准备、观察、穿刺、吻合</t>
    </r>
    <r>
      <rPr>
        <sz val="12"/>
        <rFont val="Times New Roman"/>
        <charset val="0"/>
      </rPr>
      <t xml:space="preserve"> </t>
    </r>
    <r>
      <rPr>
        <sz val="12"/>
        <rFont val="宋体"/>
        <charset val="134"/>
      </rPr>
      <t>、固定、处理用物等步骤所需的人力资源和基本物质资源消耗。（不含内镜检查）</t>
    </r>
  </si>
  <si>
    <t>013310000190001</t>
  </si>
  <si>
    <r>
      <rPr>
        <sz val="12"/>
        <rFont val="宋体"/>
        <charset val="134"/>
      </rPr>
      <t>无创胃空肠吻合费</t>
    </r>
    <r>
      <rPr>
        <sz val="12"/>
        <rFont val="Times New Roman"/>
        <charset val="0"/>
      </rPr>
      <t>-</t>
    </r>
    <r>
      <rPr>
        <sz val="12"/>
        <rFont val="宋体"/>
        <charset val="134"/>
      </rPr>
      <t>儿童（加收）</t>
    </r>
  </si>
  <si>
    <t>013310000200000</t>
  </si>
  <si>
    <t>食管病变切除费</t>
  </si>
  <si>
    <t>通过手术切除食管病变。</t>
  </si>
  <si>
    <t>所定价格涵盖手术计划、术区准备、消毒、切开、探查、切除、缝合、处理用物等步骤所需的人力资源和基本物质资源消耗。</t>
  </si>
  <si>
    <t>013310000200001</t>
  </si>
  <si>
    <r>
      <rPr>
        <sz val="12"/>
        <rFont val="宋体"/>
        <charset val="134"/>
      </rPr>
      <t>食管病变切除费</t>
    </r>
    <r>
      <rPr>
        <sz val="12"/>
        <rFont val="Times New Roman"/>
        <charset val="0"/>
      </rPr>
      <t xml:space="preserve">-
</t>
    </r>
    <r>
      <rPr>
        <sz val="12"/>
        <rFont val="宋体"/>
        <charset val="134"/>
      </rPr>
      <t>儿童（加收）</t>
    </r>
  </si>
  <si>
    <t>013310000200011</t>
  </si>
  <si>
    <r>
      <rPr>
        <sz val="12"/>
        <rFont val="宋体"/>
        <charset val="134"/>
      </rPr>
      <t>食管病变切除费</t>
    </r>
    <r>
      <rPr>
        <sz val="12"/>
        <rFont val="Times New Roman"/>
        <charset val="0"/>
      </rPr>
      <t xml:space="preserve">-
</t>
    </r>
    <r>
      <rPr>
        <sz val="12"/>
        <rFont val="宋体"/>
        <charset val="134"/>
      </rPr>
      <t>多病变切除（加收）</t>
    </r>
  </si>
  <si>
    <t>013310000210000</t>
  </si>
  <si>
    <t>食管部分切除费</t>
  </si>
  <si>
    <t>通过手术切除部分食管组织（含部分胃组织）。</t>
  </si>
  <si>
    <t>所定价格涵盖手术计划、术区准备、消毒、切开、探查、切除、吻合、缝合、处理用物等步骤所需的人力资源和基本物质资源消耗。</t>
  </si>
  <si>
    <t>013310000210001</t>
  </si>
  <si>
    <r>
      <rPr>
        <sz val="12"/>
        <rFont val="宋体"/>
        <charset val="134"/>
      </rPr>
      <t>食管部分切除费</t>
    </r>
    <r>
      <rPr>
        <sz val="12"/>
        <rFont val="Times New Roman"/>
        <charset val="0"/>
      </rPr>
      <t xml:space="preserve">-
</t>
    </r>
    <r>
      <rPr>
        <sz val="12"/>
        <rFont val="宋体"/>
        <charset val="134"/>
      </rPr>
      <t>儿童（加收）</t>
    </r>
  </si>
  <si>
    <t>013310000210011</t>
  </si>
  <si>
    <r>
      <rPr>
        <sz val="12"/>
        <rFont val="宋体"/>
        <charset val="134"/>
      </rPr>
      <t>食管部分切除费</t>
    </r>
    <r>
      <rPr>
        <sz val="12"/>
        <rFont val="Times New Roman"/>
        <charset val="0"/>
      </rPr>
      <t xml:space="preserve">-
</t>
    </r>
    <r>
      <rPr>
        <sz val="12"/>
        <rFont val="宋体"/>
        <charset val="134"/>
      </rPr>
      <t>恶性肿瘤切除</t>
    </r>
    <r>
      <rPr>
        <sz val="12"/>
        <rFont val="Times New Roman"/>
        <charset val="0"/>
      </rPr>
      <t xml:space="preserve">
</t>
    </r>
    <r>
      <rPr>
        <sz val="12"/>
        <rFont val="宋体"/>
        <charset val="134"/>
      </rPr>
      <t>（加收）</t>
    </r>
  </si>
  <si>
    <t>013310000210021</t>
  </si>
  <si>
    <r>
      <rPr>
        <sz val="12"/>
        <rFont val="宋体"/>
        <charset val="134"/>
      </rPr>
      <t>食管部分切除费</t>
    </r>
    <r>
      <rPr>
        <sz val="12"/>
        <rFont val="Times New Roman"/>
        <charset val="0"/>
      </rPr>
      <t>-</t>
    </r>
    <r>
      <rPr>
        <sz val="12"/>
        <rFont val="宋体"/>
        <charset val="134"/>
      </rPr>
      <t>胃</t>
    </r>
    <r>
      <rPr>
        <sz val="12"/>
        <rFont val="Times New Roman"/>
        <charset val="0"/>
      </rPr>
      <t>/</t>
    </r>
    <r>
      <rPr>
        <sz val="12"/>
        <rFont val="宋体"/>
        <charset val="134"/>
      </rPr>
      <t>肠代食管吻合</t>
    </r>
    <r>
      <rPr>
        <sz val="12"/>
        <rFont val="Times New Roman"/>
        <charset val="0"/>
      </rPr>
      <t xml:space="preserve">
</t>
    </r>
    <r>
      <rPr>
        <sz val="12"/>
        <rFont val="宋体"/>
        <charset val="134"/>
      </rPr>
      <t>（加收）</t>
    </r>
  </si>
  <si>
    <t>013310000220000</t>
  </si>
  <si>
    <t>食管全切除费</t>
  </si>
  <si>
    <t>通过手术切除全部食管组织（含部分胃组织）。</t>
  </si>
  <si>
    <r>
      <rPr>
        <sz val="12"/>
        <rFont val="宋体"/>
        <charset val="134"/>
      </rPr>
      <t>本项目中的</t>
    </r>
    <r>
      <rPr>
        <sz val="12"/>
        <rFont val="Times New Roman"/>
        <charset val="0"/>
      </rPr>
      <t>“</t>
    </r>
    <r>
      <rPr>
        <sz val="12"/>
        <rFont val="宋体"/>
        <charset val="134"/>
      </rPr>
      <t>恶性肿瘤扩大根治性切除</t>
    </r>
    <r>
      <rPr>
        <sz val="12"/>
        <rFont val="Times New Roman"/>
        <charset val="0"/>
      </rPr>
      <t>”</t>
    </r>
    <r>
      <rPr>
        <sz val="12"/>
        <rFont val="宋体"/>
        <charset val="134"/>
      </rPr>
      <t>指联合多脏器切除，且不含淋巴结清扫。</t>
    </r>
  </si>
  <si>
    <t>013310000220001</t>
  </si>
  <si>
    <r>
      <rPr>
        <sz val="12"/>
        <rFont val="宋体"/>
        <charset val="134"/>
      </rPr>
      <t>食管全切除费</t>
    </r>
    <r>
      <rPr>
        <sz val="12"/>
        <rFont val="Times New Roman"/>
        <charset val="0"/>
      </rPr>
      <t>-</t>
    </r>
    <r>
      <rPr>
        <sz val="12"/>
        <rFont val="宋体"/>
        <charset val="134"/>
      </rPr>
      <t>儿童（加收）</t>
    </r>
  </si>
  <si>
    <t>013310000220011</t>
  </si>
  <si>
    <r>
      <rPr>
        <sz val="12"/>
        <rFont val="宋体"/>
        <charset val="134"/>
      </rPr>
      <t>食管全切除费</t>
    </r>
    <r>
      <rPr>
        <sz val="12"/>
        <rFont val="Times New Roman"/>
        <charset val="0"/>
      </rPr>
      <t>-</t>
    </r>
    <r>
      <rPr>
        <sz val="12"/>
        <rFont val="宋体"/>
        <charset val="134"/>
      </rPr>
      <t>恶性肿瘤扩大根治性切除（加收）</t>
    </r>
  </si>
  <si>
    <t>013310000220021</t>
  </si>
  <si>
    <r>
      <rPr>
        <sz val="12"/>
        <rFont val="宋体"/>
        <charset val="134"/>
      </rPr>
      <t>食管全切除费</t>
    </r>
    <r>
      <rPr>
        <sz val="12"/>
        <rFont val="Times New Roman"/>
        <charset val="0"/>
      </rPr>
      <t>-</t>
    </r>
    <r>
      <rPr>
        <sz val="12"/>
        <rFont val="宋体"/>
        <charset val="134"/>
      </rPr>
      <t>胃</t>
    </r>
    <r>
      <rPr>
        <sz val="12"/>
        <rFont val="Times New Roman"/>
        <charset val="0"/>
      </rPr>
      <t>/</t>
    </r>
    <r>
      <rPr>
        <sz val="12"/>
        <rFont val="宋体"/>
        <charset val="134"/>
      </rPr>
      <t>肠代食管吻合（加收）</t>
    </r>
  </si>
  <si>
    <t>013310000230000</t>
  </si>
  <si>
    <t>食管切开异物取出费</t>
  </si>
  <si>
    <t>通过手术取出食管异物。</t>
  </si>
  <si>
    <t>所定价格涵盖手术计划、术区准备、消毒、切开、探查、异物取出、缝合、处理用物等步骤所需的人力资源和基本物质资源消耗。</t>
  </si>
  <si>
    <t>013310000230001</t>
  </si>
  <si>
    <r>
      <rPr>
        <sz val="12"/>
        <rFont val="宋体"/>
        <charset val="134"/>
      </rPr>
      <t>食管切开异物取出费</t>
    </r>
    <r>
      <rPr>
        <sz val="12"/>
        <rFont val="Times New Roman"/>
        <charset val="0"/>
      </rPr>
      <t>-</t>
    </r>
    <r>
      <rPr>
        <sz val="12"/>
        <rFont val="宋体"/>
        <charset val="134"/>
      </rPr>
      <t>儿童（加收）</t>
    </r>
  </si>
  <si>
    <t>013310000240000</t>
  </si>
  <si>
    <t>食管狭窄成形费</t>
  </si>
  <si>
    <r>
      <rPr>
        <sz val="12"/>
        <rFont val="宋体"/>
        <charset val="134"/>
      </rPr>
      <t>通过手术修复狭窄</t>
    </r>
    <r>
      <rPr>
        <sz val="12"/>
        <rFont val="Times New Roman"/>
        <charset val="0"/>
      </rPr>
      <t>/</t>
    </r>
    <r>
      <rPr>
        <sz val="12"/>
        <rFont val="宋体"/>
        <charset val="134"/>
      </rPr>
      <t>闭锁食管。</t>
    </r>
  </si>
  <si>
    <t>所定价格涵盖手术计划、术区准备、消毒、切开、探查、成形、缝合、处理用物等步骤所需的人力资源和基本物质资源消耗。</t>
  </si>
  <si>
    <t>013310000240001</t>
  </si>
  <si>
    <r>
      <rPr>
        <sz val="12"/>
        <rFont val="宋体"/>
        <charset val="134"/>
      </rPr>
      <t>食管狭窄成形费</t>
    </r>
    <r>
      <rPr>
        <sz val="12"/>
        <rFont val="Times New Roman"/>
        <charset val="0"/>
      </rPr>
      <t xml:space="preserve">-
</t>
    </r>
    <r>
      <rPr>
        <sz val="12"/>
        <rFont val="宋体"/>
        <charset val="134"/>
      </rPr>
      <t>儿童（加收）</t>
    </r>
  </si>
  <si>
    <t>013310000250000</t>
  </si>
  <si>
    <r>
      <rPr>
        <sz val="12"/>
        <rFont val="宋体"/>
        <charset val="134"/>
      </rPr>
      <t>食管造瘘</t>
    </r>
    <r>
      <rPr>
        <sz val="12"/>
        <rFont val="Times New Roman"/>
        <charset val="0"/>
      </rPr>
      <t>/</t>
    </r>
    <r>
      <rPr>
        <sz val="12"/>
        <rFont val="宋体"/>
        <charset val="134"/>
      </rPr>
      <t>口费</t>
    </r>
  </si>
  <si>
    <r>
      <rPr>
        <sz val="12"/>
        <rFont val="宋体"/>
        <charset val="134"/>
      </rPr>
      <t>通过手术对食管造瘘</t>
    </r>
    <r>
      <rPr>
        <sz val="12"/>
        <rFont val="Times New Roman"/>
        <charset val="0"/>
      </rPr>
      <t>/</t>
    </r>
    <r>
      <rPr>
        <sz val="12"/>
        <rFont val="宋体"/>
        <charset val="134"/>
      </rPr>
      <t>口。</t>
    </r>
  </si>
  <si>
    <t>所定价格涵盖手术计划、术区准备、消毒、切开、探查、造口、缝合、处理用物等步骤所需的人力资源和基本物质资源消耗。</t>
  </si>
  <si>
    <t>013310000250001</t>
  </si>
  <si>
    <r>
      <rPr>
        <sz val="12"/>
        <rFont val="宋体"/>
        <charset val="134"/>
      </rPr>
      <t>食管造瘘</t>
    </r>
    <r>
      <rPr>
        <sz val="12"/>
        <rFont val="Times New Roman"/>
        <charset val="0"/>
      </rPr>
      <t>/</t>
    </r>
    <r>
      <rPr>
        <sz val="12"/>
        <rFont val="宋体"/>
        <charset val="134"/>
      </rPr>
      <t>口费</t>
    </r>
    <r>
      <rPr>
        <sz val="12"/>
        <rFont val="Times New Roman"/>
        <charset val="0"/>
      </rPr>
      <t>-</t>
    </r>
    <r>
      <rPr>
        <sz val="12"/>
        <rFont val="宋体"/>
        <charset val="134"/>
      </rPr>
      <t>儿童（加收）</t>
    </r>
  </si>
  <si>
    <t>013310000260000</t>
  </si>
  <si>
    <t>食管修补费</t>
  </si>
  <si>
    <t>通过手术修补破裂的食管。</t>
  </si>
  <si>
    <t>所定价格涵盖手术计划、术区准备、消毒、切开、探查、修补、缝合、处理用物等步骤所需的人力资源和基本物质资源消耗。</t>
  </si>
  <si>
    <r>
      <rPr>
        <sz val="12"/>
        <rFont val="宋体"/>
        <charset val="134"/>
      </rPr>
      <t>本项目中的</t>
    </r>
    <r>
      <rPr>
        <sz val="12"/>
        <rFont val="Times New Roman"/>
        <charset val="0"/>
      </rPr>
      <t>“</t>
    </r>
    <r>
      <rPr>
        <sz val="12"/>
        <rFont val="宋体"/>
        <charset val="134"/>
      </rPr>
      <t>次</t>
    </r>
    <r>
      <rPr>
        <sz val="12"/>
        <rFont val="Times New Roman"/>
        <charset val="0"/>
      </rPr>
      <t>”</t>
    </r>
    <r>
      <rPr>
        <sz val="12"/>
        <rFont val="宋体"/>
        <charset val="134"/>
      </rPr>
      <t>指：</t>
    </r>
    <r>
      <rPr>
        <sz val="12"/>
        <rFont val="Times New Roman"/>
        <charset val="0"/>
      </rPr>
      <t>2</t>
    </r>
    <r>
      <rPr>
        <sz val="12"/>
        <rFont val="宋体"/>
        <charset val="134"/>
      </rPr>
      <t>处以下部位修补，</t>
    </r>
    <r>
      <rPr>
        <sz val="12"/>
        <rFont val="Times New Roman"/>
        <charset val="0"/>
      </rPr>
      <t>3</t>
    </r>
    <r>
      <rPr>
        <sz val="12"/>
        <rFont val="宋体"/>
        <charset val="134"/>
      </rPr>
      <t>处及</t>
    </r>
    <r>
      <rPr>
        <sz val="12"/>
        <rFont val="Times New Roman"/>
        <charset val="0"/>
      </rPr>
      <t>3</t>
    </r>
    <r>
      <rPr>
        <sz val="12"/>
        <rFont val="宋体"/>
        <charset val="134"/>
      </rPr>
      <t>处以上修补按</t>
    </r>
    <r>
      <rPr>
        <sz val="12"/>
        <rFont val="Times New Roman"/>
        <charset val="0"/>
      </rPr>
      <t>“</t>
    </r>
    <r>
      <rPr>
        <sz val="12"/>
        <rFont val="宋体"/>
        <charset val="134"/>
      </rPr>
      <t>多部位修补</t>
    </r>
    <r>
      <rPr>
        <sz val="12"/>
        <rFont val="Times New Roman"/>
        <charset val="0"/>
      </rPr>
      <t>”</t>
    </r>
    <r>
      <rPr>
        <sz val="12"/>
        <rFont val="宋体"/>
        <charset val="134"/>
      </rPr>
      <t>加收。</t>
    </r>
  </si>
  <si>
    <t>013310000260001</t>
  </si>
  <si>
    <r>
      <rPr>
        <sz val="12"/>
        <rFont val="宋体"/>
        <charset val="134"/>
      </rPr>
      <t>食管修补费</t>
    </r>
    <r>
      <rPr>
        <sz val="12"/>
        <rFont val="Times New Roman"/>
        <charset val="0"/>
      </rPr>
      <t>-</t>
    </r>
    <r>
      <rPr>
        <sz val="12"/>
        <rFont val="宋体"/>
        <charset val="134"/>
      </rPr>
      <t>儿童（加收）</t>
    </r>
  </si>
  <si>
    <t>013310000260011</t>
  </si>
  <si>
    <r>
      <rPr>
        <sz val="12"/>
        <rFont val="宋体"/>
        <charset val="134"/>
      </rPr>
      <t>食管修补费</t>
    </r>
    <r>
      <rPr>
        <sz val="12"/>
        <rFont val="Times New Roman"/>
        <charset val="0"/>
      </rPr>
      <t>-</t>
    </r>
    <r>
      <rPr>
        <sz val="12"/>
        <rFont val="宋体"/>
        <charset val="134"/>
      </rPr>
      <t>多部位修补（加收）</t>
    </r>
  </si>
  <si>
    <t>013310000270000</t>
  </si>
  <si>
    <t>胃部分切除费</t>
  </si>
  <si>
    <t>通过手术切除部分胃组织。</t>
  </si>
  <si>
    <t>所定价格涵盖手术计划、术区准备、消毒、切开、探查、分离、切除、吻合、冲洗、止血、引流、缝合、处理用物等步骤所需的人力资源和基本物质资源消耗。</t>
  </si>
  <si>
    <t>013310000270001</t>
  </si>
  <si>
    <r>
      <rPr>
        <sz val="12"/>
        <rFont val="宋体"/>
        <charset val="134"/>
      </rPr>
      <t>胃部分切除费</t>
    </r>
    <r>
      <rPr>
        <sz val="12"/>
        <rFont val="Times New Roman"/>
        <charset val="0"/>
      </rPr>
      <t>-</t>
    </r>
    <r>
      <rPr>
        <sz val="12"/>
        <rFont val="宋体"/>
        <charset val="134"/>
      </rPr>
      <t>儿童（加收）</t>
    </r>
  </si>
  <si>
    <t>013310000270011</t>
  </si>
  <si>
    <r>
      <rPr>
        <sz val="12"/>
        <rFont val="宋体"/>
        <charset val="134"/>
      </rPr>
      <t>胃部分切除费</t>
    </r>
    <r>
      <rPr>
        <sz val="12"/>
        <rFont val="Times New Roman"/>
        <charset val="0"/>
      </rPr>
      <t>-</t>
    </r>
    <r>
      <rPr>
        <sz val="12"/>
        <rFont val="宋体"/>
        <charset val="134"/>
      </rPr>
      <t>多病变切除（加收）</t>
    </r>
  </si>
  <si>
    <t>013310000270021</t>
  </si>
  <si>
    <r>
      <rPr>
        <sz val="12"/>
        <rFont val="宋体"/>
        <charset val="134"/>
      </rPr>
      <t>胃部分切除费</t>
    </r>
    <r>
      <rPr>
        <sz val="12"/>
        <rFont val="Times New Roman"/>
        <charset val="0"/>
      </rPr>
      <t>-</t>
    </r>
    <r>
      <rPr>
        <sz val="12"/>
        <rFont val="宋体"/>
        <charset val="134"/>
      </rPr>
      <t>病变累及贲门（加收）</t>
    </r>
  </si>
  <si>
    <t>013310000280000</t>
  </si>
  <si>
    <t>胃大部切除费</t>
  </si>
  <si>
    <t>通过手术切除大部分胃组织。</t>
  </si>
  <si>
    <t>013310000280001</t>
  </si>
  <si>
    <r>
      <rPr>
        <sz val="12"/>
        <rFont val="宋体"/>
        <charset val="134"/>
      </rPr>
      <t>胃大部切除费</t>
    </r>
    <r>
      <rPr>
        <sz val="12"/>
        <rFont val="Times New Roman"/>
        <charset val="0"/>
      </rPr>
      <t>-</t>
    </r>
    <r>
      <rPr>
        <sz val="12"/>
        <rFont val="宋体"/>
        <charset val="134"/>
      </rPr>
      <t>儿童（加收）</t>
    </r>
  </si>
  <si>
    <t>013310000280011</t>
  </si>
  <si>
    <r>
      <rPr>
        <sz val="12"/>
        <rFont val="宋体"/>
        <charset val="134"/>
      </rPr>
      <t>胃大部切除费</t>
    </r>
    <r>
      <rPr>
        <sz val="12"/>
        <rFont val="Times New Roman"/>
        <charset val="0"/>
      </rPr>
      <t>-</t>
    </r>
    <r>
      <rPr>
        <sz val="12"/>
        <rFont val="宋体"/>
        <charset val="134"/>
      </rPr>
      <t>恶性肿瘤扩大根治性切除</t>
    </r>
    <r>
      <rPr>
        <sz val="12"/>
        <rFont val="Times New Roman"/>
        <charset val="0"/>
      </rPr>
      <t xml:space="preserve">
</t>
    </r>
    <r>
      <rPr>
        <sz val="12"/>
        <rFont val="宋体"/>
        <charset val="134"/>
      </rPr>
      <t>（加收）</t>
    </r>
  </si>
  <si>
    <t>013310000280021</t>
  </si>
  <si>
    <r>
      <rPr>
        <sz val="12"/>
        <rFont val="宋体"/>
        <charset val="134"/>
      </rPr>
      <t>胃大部切除费</t>
    </r>
    <r>
      <rPr>
        <sz val="12"/>
        <rFont val="Times New Roman"/>
        <charset val="0"/>
      </rPr>
      <t>-</t>
    </r>
    <r>
      <rPr>
        <sz val="12"/>
        <rFont val="宋体"/>
        <charset val="134"/>
      </rPr>
      <t>近端胃大部切除（加收）</t>
    </r>
  </si>
  <si>
    <t>013310000290000</t>
  </si>
  <si>
    <t>胃全切除费</t>
  </si>
  <si>
    <t>通过手术切除全胃。</t>
  </si>
  <si>
    <t>013310000290001</t>
  </si>
  <si>
    <r>
      <rPr>
        <sz val="12"/>
        <rFont val="宋体"/>
        <charset val="134"/>
      </rPr>
      <t>胃全切除费</t>
    </r>
    <r>
      <rPr>
        <sz val="12"/>
        <rFont val="Times New Roman"/>
        <charset val="0"/>
      </rPr>
      <t>-</t>
    </r>
    <r>
      <rPr>
        <sz val="12"/>
        <rFont val="宋体"/>
        <charset val="134"/>
      </rPr>
      <t>儿童</t>
    </r>
    <r>
      <rPr>
        <sz val="12"/>
        <rFont val="Times New Roman"/>
        <charset val="0"/>
      </rPr>
      <t xml:space="preserve">
</t>
    </r>
    <r>
      <rPr>
        <sz val="12"/>
        <rFont val="宋体"/>
        <charset val="134"/>
      </rPr>
      <t>（加收）</t>
    </r>
  </si>
  <si>
    <t>013310000290011</t>
  </si>
  <si>
    <r>
      <rPr>
        <sz val="12"/>
        <rFont val="宋体"/>
        <charset val="134"/>
      </rPr>
      <t>胃全切除费</t>
    </r>
    <r>
      <rPr>
        <sz val="12"/>
        <rFont val="Times New Roman"/>
        <charset val="0"/>
      </rPr>
      <t>-</t>
    </r>
    <r>
      <rPr>
        <sz val="12"/>
        <rFont val="宋体"/>
        <charset val="134"/>
      </rPr>
      <t>恶性肿瘤扩大根治性切除</t>
    </r>
    <r>
      <rPr>
        <sz val="12"/>
        <rFont val="Times New Roman"/>
        <charset val="0"/>
      </rPr>
      <t xml:space="preserve">
</t>
    </r>
    <r>
      <rPr>
        <sz val="12"/>
        <rFont val="宋体"/>
        <charset val="134"/>
      </rPr>
      <t>（加收）</t>
    </r>
  </si>
  <si>
    <t>013310000300000</t>
  </si>
  <si>
    <t>胃减容费</t>
  </si>
  <si>
    <t>通过手术缩小胃容量。</t>
  </si>
  <si>
    <t>所定价格涵盖手术计划、术区准备、消毒、切开、探查、分离、切除、折叠、成形、冲洗、止血、引流、缝合、处理用物，必要时行抗返流操作等步骤所需的人力资源和基本物质资源消耗。</t>
  </si>
  <si>
    <r>
      <rPr>
        <sz val="12"/>
        <rFont val="宋体"/>
        <charset val="134"/>
      </rPr>
      <t>不可与</t>
    </r>
    <r>
      <rPr>
        <sz val="12"/>
        <rFont val="Times New Roman"/>
        <charset val="0"/>
      </rPr>
      <t>“</t>
    </r>
    <r>
      <rPr>
        <sz val="12"/>
        <rFont val="宋体"/>
        <charset val="134"/>
      </rPr>
      <t>胃部分切除费、胃大部切除费</t>
    </r>
    <r>
      <rPr>
        <sz val="12"/>
        <rFont val="Times New Roman"/>
        <charset val="0"/>
      </rPr>
      <t>”</t>
    </r>
    <r>
      <rPr>
        <sz val="12"/>
        <rFont val="宋体"/>
        <charset val="134"/>
      </rPr>
      <t>同时收取。</t>
    </r>
  </si>
  <si>
    <t>013310000300001</t>
  </si>
  <si>
    <r>
      <rPr>
        <sz val="12"/>
        <rFont val="宋体"/>
        <charset val="134"/>
      </rPr>
      <t>胃减容费</t>
    </r>
    <r>
      <rPr>
        <sz val="12"/>
        <rFont val="Times New Roman"/>
        <charset val="0"/>
      </rPr>
      <t>-</t>
    </r>
    <r>
      <rPr>
        <sz val="12"/>
        <rFont val="宋体"/>
        <charset val="134"/>
      </rPr>
      <t>儿童</t>
    </r>
    <r>
      <rPr>
        <sz val="12"/>
        <rFont val="Times New Roman"/>
        <charset val="0"/>
      </rPr>
      <t xml:space="preserve">
</t>
    </r>
    <r>
      <rPr>
        <sz val="12"/>
        <rFont val="宋体"/>
        <charset val="134"/>
      </rPr>
      <t>（加收）</t>
    </r>
  </si>
  <si>
    <t>013310000310000</t>
  </si>
  <si>
    <t>胃肠括约肌成形费</t>
  </si>
  <si>
    <t>通过手术修复胃肠道括约肌。</t>
  </si>
  <si>
    <t>所定价格涵盖手术计划、术区准备、消毒、切开、探查、分离、切除、成形、冲洗、止血、引流、缝合、处理用物，必要时行抗返流操作等步骤所需的人力资源和基本物质资源消耗。</t>
  </si>
  <si>
    <t>013310000310001</t>
  </si>
  <si>
    <r>
      <rPr>
        <sz val="12"/>
        <rFont val="宋体"/>
        <charset val="134"/>
      </rPr>
      <t>胃肠括约肌成形费</t>
    </r>
    <r>
      <rPr>
        <sz val="12"/>
        <rFont val="Times New Roman"/>
        <charset val="0"/>
      </rPr>
      <t xml:space="preserve">-
</t>
    </r>
    <r>
      <rPr>
        <sz val="12"/>
        <rFont val="宋体"/>
        <charset val="134"/>
      </rPr>
      <t>儿童（加收）</t>
    </r>
  </si>
  <si>
    <t>013310000320000</t>
  </si>
  <si>
    <t>胃切开异物取出费</t>
  </si>
  <si>
    <t>通过手术切开胃取出异物。</t>
  </si>
  <si>
    <t>所定价格涵盖手术计划、术区准备、消毒、切开、探查、异物取出、冲洗、止血、引流、缝合、处理用物等步骤所需的人力资源和基本物质资源消耗。</t>
  </si>
  <si>
    <t>013310000320001</t>
  </si>
  <si>
    <r>
      <rPr>
        <sz val="12"/>
        <rFont val="宋体"/>
        <charset val="134"/>
      </rPr>
      <t>胃切开异物取出费</t>
    </r>
    <r>
      <rPr>
        <sz val="12"/>
        <rFont val="Times New Roman"/>
        <charset val="0"/>
      </rPr>
      <t>-</t>
    </r>
    <r>
      <rPr>
        <sz val="12"/>
        <rFont val="宋体"/>
        <charset val="134"/>
      </rPr>
      <t>儿童（加收）</t>
    </r>
  </si>
  <si>
    <t>013310000330000</t>
  </si>
  <si>
    <t>胃修补费</t>
  </si>
  <si>
    <t>通过手术修补胃穿孔等损伤。</t>
  </si>
  <si>
    <t>所定价格涵盖手术计划、术区准备、消毒、切开、探查、分离、修复、冲洗、止血、引流、缝合、处理用物等步骤所需的人力资源和基本物质资源消耗。</t>
  </si>
  <si>
    <t>013310000330001</t>
  </si>
  <si>
    <r>
      <rPr>
        <sz val="12"/>
        <rFont val="宋体"/>
        <charset val="134"/>
      </rPr>
      <t>胃修补费</t>
    </r>
    <r>
      <rPr>
        <sz val="12"/>
        <rFont val="Times New Roman"/>
        <charset val="0"/>
      </rPr>
      <t>-</t>
    </r>
    <r>
      <rPr>
        <sz val="12"/>
        <rFont val="宋体"/>
        <charset val="134"/>
      </rPr>
      <t>儿童</t>
    </r>
    <r>
      <rPr>
        <sz val="12"/>
        <rFont val="Times New Roman"/>
        <charset val="0"/>
      </rPr>
      <t xml:space="preserve">
</t>
    </r>
    <r>
      <rPr>
        <sz val="12"/>
        <rFont val="宋体"/>
        <charset val="134"/>
      </rPr>
      <t>（加收）</t>
    </r>
  </si>
  <si>
    <t>013310000330011</t>
  </si>
  <si>
    <r>
      <rPr>
        <sz val="12"/>
        <rFont val="宋体"/>
        <charset val="134"/>
      </rPr>
      <t>胃修补费</t>
    </r>
    <r>
      <rPr>
        <sz val="12"/>
        <rFont val="Times New Roman"/>
        <charset val="0"/>
      </rPr>
      <t>-</t>
    </r>
    <r>
      <rPr>
        <sz val="12"/>
        <rFont val="宋体"/>
        <charset val="134"/>
      </rPr>
      <t>多部位修补（加收）</t>
    </r>
  </si>
  <si>
    <t>013310000340000</t>
  </si>
  <si>
    <r>
      <rPr>
        <sz val="12"/>
        <rFont val="宋体"/>
        <charset val="134"/>
      </rPr>
      <t>胃肠灌注造瘘</t>
    </r>
    <r>
      <rPr>
        <sz val="12"/>
        <rFont val="Times New Roman"/>
        <charset val="0"/>
      </rPr>
      <t>/</t>
    </r>
    <r>
      <rPr>
        <sz val="12"/>
        <rFont val="宋体"/>
        <charset val="134"/>
      </rPr>
      <t>口费</t>
    </r>
  </si>
  <si>
    <r>
      <rPr>
        <sz val="12"/>
        <rFont val="宋体"/>
        <charset val="134"/>
      </rPr>
      <t>通过手术在胃肠部造瘘</t>
    </r>
    <r>
      <rPr>
        <sz val="12"/>
        <rFont val="Times New Roman"/>
        <charset val="0"/>
      </rPr>
      <t>/</t>
    </r>
    <r>
      <rPr>
        <sz val="12"/>
        <rFont val="宋体"/>
        <charset val="134"/>
      </rPr>
      <t>口，用于后续胃肠灌注。</t>
    </r>
  </si>
  <si>
    <t>所定价格涵盖手术计划、术区准备、消毒、切开、探查、分离、置管、固定、冲洗、止血、引流、缝合、处理用物等步骤所需的人力资源和基本物质资源消耗。</t>
  </si>
  <si>
    <t>013310000340001</t>
  </si>
  <si>
    <r>
      <rPr>
        <sz val="12"/>
        <rFont val="宋体"/>
        <charset val="134"/>
      </rPr>
      <t>胃肠灌注造瘘</t>
    </r>
    <r>
      <rPr>
        <sz val="12"/>
        <rFont val="Times New Roman"/>
        <charset val="0"/>
      </rPr>
      <t>/</t>
    </r>
    <r>
      <rPr>
        <sz val="12"/>
        <rFont val="宋体"/>
        <charset val="0"/>
      </rPr>
      <t>口费</t>
    </r>
    <r>
      <rPr>
        <sz val="12"/>
        <rFont val="Times New Roman"/>
        <charset val="0"/>
      </rPr>
      <t xml:space="preserve">-
</t>
    </r>
    <r>
      <rPr>
        <sz val="12"/>
        <rFont val="宋体"/>
        <charset val="0"/>
      </rPr>
      <t>儿童（加收）</t>
    </r>
  </si>
  <si>
    <t>013310000350000</t>
  </si>
  <si>
    <t>消化道转流费（常规）</t>
  </si>
  <si>
    <t>通过手术重新连接吻合消化道，实现消化道重建。</t>
  </si>
  <si>
    <t>所定价格涵盖手术计划、术区准备、消毒、切开、探查、分离、缝合重建、冲洗、止血、引流、缝合、处理用物，必要时造瘘等步骤所需的人力资源和基本物质资源消耗。</t>
  </si>
  <si>
    <t>不与其他含吻合步骤手术同时收取。</t>
  </si>
  <si>
    <t>013310000350001</t>
  </si>
  <si>
    <r>
      <rPr>
        <sz val="12"/>
        <rFont val="宋体"/>
        <charset val="134"/>
      </rPr>
      <t>消化道转流费（常规）</t>
    </r>
    <r>
      <rPr>
        <sz val="12"/>
        <rFont val="Times New Roman"/>
        <charset val="0"/>
      </rPr>
      <t>-</t>
    </r>
    <r>
      <rPr>
        <sz val="12"/>
        <rFont val="宋体"/>
        <charset val="134"/>
      </rPr>
      <t>儿童（加收）</t>
    </r>
  </si>
  <si>
    <t>013310000360000</t>
  </si>
  <si>
    <t>消化道转流费（复杂）</t>
  </si>
  <si>
    <t>通过手术重新连接吻合消化道，实现复杂情况消化道重建。</t>
  </si>
  <si>
    <r>
      <rPr>
        <sz val="12"/>
        <rFont val="Times New Roman"/>
        <charset val="0"/>
      </rPr>
      <t>1.</t>
    </r>
    <r>
      <rPr>
        <sz val="12"/>
        <rFont val="宋体"/>
        <charset val="134"/>
      </rPr>
      <t>本项目中</t>
    </r>
    <r>
      <rPr>
        <sz val="12"/>
        <rFont val="Times New Roman"/>
        <charset val="0"/>
      </rPr>
      <t>“</t>
    </r>
    <r>
      <rPr>
        <sz val="12"/>
        <rFont val="宋体"/>
        <charset val="134"/>
      </rPr>
      <t>复杂</t>
    </r>
    <r>
      <rPr>
        <sz val="12"/>
        <rFont val="Times New Roman"/>
        <charset val="0"/>
      </rPr>
      <t>”</t>
    </r>
    <r>
      <rPr>
        <sz val="12"/>
        <rFont val="宋体"/>
        <charset val="134"/>
      </rPr>
      <t>指：胆肠吻合、胆胰转流、胰肠吻合、多吻合口的情况。</t>
    </r>
    <r>
      <rPr>
        <sz val="12"/>
        <rFont val="Times New Roman"/>
        <charset val="0"/>
      </rPr>
      <t xml:space="preserve">
2.</t>
    </r>
    <r>
      <rPr>
        <sz val="12"/>
        <rFont val="宋体"/>
        <charset val="134"/>
      </rPr>
      <t>不与其他含吻合步骤手术同时收取。</t>
    </r>
  </si>
  <si>
    <t>013310000360001</t>
  </si>
  <si>
    <r>
      <rPr>
        <sz val="12"/>
        <rFont val="宋体"/>
        <charset val="134"/>
      </rPr>
      <t>消化道转流费（复杂）</t>
    </r>
    <r>
      <rPr>
        <sz val="12"/>
        <rFont val="Times New Roman"/>
        <charset val="0"/>
      </rPr>
      <t>-</t>
    </r>
    <r>
      <rPr>
        <sz val="12"/>
        <rFont val="宋体"/>
        <charset val="134"/>
      </rPr>
      <t>儿童（加收）</t>
    </r>
  </si>
  <si>
    <t>013310000370000</t>
  </si>
  <si>
    <t>小肠部分切除费</t>
  </si>
  <si>
    <t>通过手术切除部分小肠组织。</t>
  </si>
  <si>
    <t>013310000370001</t>
  </si>
  <si>
    <r>
      <rPr>
        <sz val="12"/>
        <rFont val="宋体"/>
        <charset val="134"/>
      </rPr>
      <t>小肠部分切除费</t>
    </r>
    <r>
      <rPr>
        <sz val="12"/>
        <rFont val="Times New Roman"/>
        <charset val="0"/>
      </rPr>
      <t>-</t>
    </r>
    <r>
      <rPr>
        <sz val="12"/>
        <rFont val="宋体"/>
        <charset val="134"/>
      </rPr>
      <t>儿童（加收）</t>
    </r>
  </si>
  <si>
    <t>013310000370011</t>
  </si>
  <si>
    <r>
      <rPr>
        <sz val="12"/>
        <rFont val="宋体"/>
        <charset val="134"/>
      </rPr>
      <t>小肠部分切除费</t>
    </r>
    <r>
      <rPr>
        <sz val="12"/>
        <rFont val="Times New Roman"/>
        <charset val="0"/>
      </rPr>
      <t>-</t>
    </r>
    <r>
      <rPr>
        <sz val="12"/>
        <rFont val="宋体"/>
        <charset val="134"/>
      </rPr>
      <t>恶性肿瘤切除（加收）</t>
    </r>
  </si>
  <si>
    <t>013310000370021</t>
  </si>
  <si>
    <r>
      <rPr>
        <sz val="12"/>
        <rFont val="宋体"/>
        <charset val="134"/>
      </rPr>
      <t>小肠部分切除费</t>
    </r>
    <r>
      <rPr>
        <sz val="12"/>
        <rFont val="Times New Roman"/>
        <charset val="0"/>
      </rPr>
      <t>-</t>
    </r>
    <r>
      <rPr>
        <sz val="12"/>
        <rFont val="宋体"/>
        <charset val="134"/>
      </rPr>
      <t>两个及以上肠段切除（加收）</t>
    </r>
  </si>
  <si>
    <t>013310000380000</t>
  </si>
  <si>
    <t>肠修补费</t>
  </si>
  <si>
    <t>通过手术修补肠穿孔等损伤。</t>
  </si>
  <si>
    <t>013310000380001</t>
  </si>
  <si>
    <r>
      <rPr>
        <sz val="12"/>
        <rFont val="宋体"/>
        <charset val="134"/>
      </rPr>
      <t>肠修补费</t>
    </r>
    <r>
      <rPr>
        <sz val="12"/>
        <rFont val="Times New Roman"/>
        <charset val="0"/>
      </rPr>
      <t>-</t>
    </r>
    <r>
      <rPr>
        <sz val="12"/>
        <rFont val="宋体"/>
        <charset val="134"/>
      </rPr>
      <t>儿童（加收）</t>
    </r>
  </si>
  <si>
    <t>013310000380011</t>
  </si>
  <si>
    <r>
      <rPr>
        <sz val="12"/>
        <rFont val="宋体"/>
        <charset val="134"/>
      </rPr>
      <t>肠修补费</t>
    </r>
    <r>
      <rPr>
        <sz val="12"/>
        <rFont val="Times New Roman"/>
        <charset val="0"/>
      </rPr>
      <t>-</t>
    </r>
    <r>
      <rPr>
        <sz val="12"/>
        <rFont val="宋体"/>
        <charset val="134"/>
      </rPr>
      <t>多部位修补（加收）</t>
    </r>
  </si>
  <si>
    <t>013310000390000</t>
  </si>
  <si>
    <t>肠道狭窄成形费</t>
  </si>
  <si>
    <t>通过手术修复狭窄肠道。</t>
  </si>
  <si>
    <t>所定价格涵盖手术计划、术区准备、消毒、切开、探查、分离、切除、修复、成形、吻合、冲洗、止血、引流、缝合、处理用物等步骤所需的人力资源和基本物质资源消耗。</t>
  </si>
  <si>
    <t>013310000390001</t>
  </si>
  <si>
    <r>
      <rPr>
        <sz val="12"/>
        <rFont val="宋体"/>
        <charset val="134"/>
      </rPr>
      <t>肠道狭窄成形费</t>
    </r>
    <r>
      <rPr>
        <sz val="12"/>
        <rFont val="Times New Roman"/>
        <charset val="0"/>
      </rPr>
      <t xml:space="preserve">-
</t>
    </r>
    <r>
      <rPr>
        <sz val="12"/>
        <rFont val="宋体"/>
        <charset val="134"/>
      </rPr>
      <t>儿童（加收）</t>
    </r>
  </si>
  <si>
    <t>013310000390011</t>
  </si>
  <si>
    <r>
      <rPr>
        <sz val="12"/>
        <rFont val="宋体"/>
        <charset val="134"/>
      </rPr>
      <t>肠道狭窄成形费</t>
    </r>
    <r>
      <rPr>
        <sz val="12"/>
        <rFont val="Times New Roman"/>
        <charset val="0"/>
      </rPr>
      <t>-</t>
    </r>
    <r>
      <rPr>
        <sz val="12"/>
        <rFont val="宋体"/>
        <charset val="134"/>
      </rPr>
      <t>肠道闭锁成形（加收）</t>
    </r>
  </si>
  <si>
    <t>013310000390021</t>
  </si>
  <si>
    <r>
      <rPr>
        <sz val="12"/>
        <rFont val="宋体"/>
        <charset val="134"/>
      </rPr>
      <t>肠道狭窄成形费</t>
    </r>
    <r>
      <rPr>
        <sz val="12"/>
        <rFont val="Times New Roman"/>
        <charset val="0"/>
      </rPr>
      <t>-</t>
    </r>
    <r>
      <rPr>
        <sz val="12"/>
        <rFont val="宋体"/>
        <charset val="134"/>
      </rPr>
      <t>两处及以上肠道狭窄成形（加收）</t>
    </r>
  </si>
  <si>
    <t>013310000400000</t>
  </si>
  <si>
    <t>肠管延长费</t>
  </si>
  <si>
    <t>通过手术增加肠管的有效长度。</t>
  </si>
  <si>
    <t>013310000400001</t>
  </si>
  <si>
    <r>
      <rPr>
        <sz val="12"/>
        <rFont val="宋体"/>
        <charset val="134"/>
      </rPr>
      <t>肠管延长费</t>
    </r>
    <r>
      <rPr>
        <sz val="12"/>
        <rFont val="Times New Roman"/>
        <charset val="0"/>
      </rPr>
      <t>-</t>
    </r>
    <r>
      <rPr>
        <sz val="12"/>
        <rFont val="宋体"/>
        <charset val="134"/>
      </rPr>
      <t>儿童（加收）</t>
    </r>
  </si>
  <si>
    <t>013310000410000</t>
  </si>
  <si>
    <t>肠粘连松解费（常规）</t>
  </si>
  <si>
    <t>通过手术对肠道粘连进行松解。</t>
  </si>
  <si>
    <t>所定价格涵盖手术计划、术区准备、消毒、切开、探查、分离、肠道粘连松解、排列、冲洗、止血、引流、缝合、处理用物等步骤所需的人力资源和基本物质资源消耗。</t>
  </si>
  <si>
    <t>仅限单纯肠粘连松解收取，不与其他腹部手术同时收取。</t>
  </si>
  <si>
    <t>013310000410001</t>
  </si>
  <si>
    <r>
      <rPr>
        <sz val="12"/>
        <rFont val="宋体"/>
        <charset val="134"/>
      </rPr>
      <t>肠粘连松解费（常规）</t>
    </r>
    <r>
      <rPr>
        <sz val="12"/>
        <rFont val="Times New Roman"/>
        <charset val="0"/>
      </rPr>
      <t>-</t>
    </r>
    <r>
      <rPr>
        <sz val="12"/>
        <rFont val="宋体"/>
        <charset val="134"/>
      </rPr>
      <t>儿童（加收）</t>
    </r>
  </si>
  <si>
    <t>013310000420000</t>
  </si>
  <si>
    <t>肠粘连松解费（复杂）</t>
  </si>
  <si>
    <t>通过手术对复杂情况下的肠道粘连进行松解。</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</si>
  <si>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指：既往接受腹部手术情况。</t>
    </r>
  </si>
  <si>
    <t>013310000420001</t>
  </si>
  <si>
    <r>
      <rPr>
        <sz val="12"/>
        <rFont val="宋体"/>
        <charset val="134"/>
      </rPr>
      <t>肠粘连松解费（复杂）</t>
    </r>
    <r>
      <rPr>
        <sz val="12"/>
        <rFont val="Times New Roman"/>
        <charset val="0"/>
      </rPr>
      <t>-</t>
    </r>
    <r>
      <rPr>
        <sz val="12"/>
        <rFont val="宋体"/>
        <charset val="134"/>
      </rPr>
      <t>儿童（加收）</t>
    </r>
  </si>
  <si>
    <t>013310000430000</t>
  </si>
  <si>
    <t>肠复位费</t>
  </si>
  <si>
    <t>通过手术对肠进行复位。</t>
  </si>
  <si>
    <t>所定价格涵盖手术计划、术区准备、消毒、切开、探查、分离、复位、固定、冲洗、止血、引流、缝合、处理用物等步骤所需的人力资源和基本物质资源消耗。</t>
  </si>
  <si>
    <r>
      <rPr>
        <sz val="12"/>
        <rFont val="Times New Roman"/>
        <charset val="0"/>
      </rPr>
      <t>1.</t>
    </r>
    <r>
      <rPr>
        <sz val="12"/>
        <rFont val="宋体"/>
        <charset val="134"/>
      </rPr>
      <t>不含肠切除。</t>
    </r>
    <r>
      <rPr>
        <sz val="12"/>
        <rFont val="Times New Roman"/>
        <charset val="0"/>
      </rPr>
      <t xml:space="preserve">
2.</t>
    </r>
    <r>
      <rPr>
        <sz val="12"/>
        <rFont val="宋体"/>
        <charset val="134"/>
      </rPr>
      <t>仅限胃</t>
    </r>
    <r>
      <rPr>
        <sz val="12"/>
        <rFont val="Times New Roman"/>
        <charset val="0"/>
      </rPr>
      <t>/</t>
    </r>
    <r>
      <rPr>
        <sz val="12"/>
        <rFont val="宋体"/>
        <charset val="134"/>
      </rPr>
      <t>肠扭转、肠套叠等情况手术复位使用。</t>
    </r>
  </si>
  <si>
    <t>013310000430001</t>
  </si>
  <si>
    <r>
      <rPr>
        <sz val="12"/>
        <rFont val="宋体"/>
        <charset val="134"/>
      </rPr>
      <t>肠复位费</t>
    </r>
    <r>
      <rPr>
        <sz val="12"/>
        <rFont val="Times New Roman"/>
        <charset val="0"/>
      </rPr>
      <t>-</t>
    </r>
    <r>
      <rPr>
        <sz val="12"/>
        <rFont val="宋体"/>
        <charset val="134"/>
      </rPr>
      <t>儿童</t>
    </r>
    <r>
      <rPr>
        <sz val="12"/>
        <rFont val="Times New Roman"/>
        <charset val="0"/>
      </rPr>
      <t xml:space="preserve">
</t>
    </r>
    <r>
      <rPr>
        <sz val="12"/>
        <rFont val="宋体"/>
        <charset val="134"/>
      </rPr>
      <t>（加收）</t>
    </r>
  </si>
  <si>
    <t>013310000430011</t>
  </si>
  <si>
    <r>
      <rPr>
        <sz val="12"/>
        <rFont val="宋体"/>
        <charset val="134"/>
      </rPr>
      <t>肠复位费</t>
    </r>
    <r>
      <rPr>
        <sz val="12"/>
        <rFont val="Times New Roman"/>
        <charset val="0"/>
      </rPr>
      <t>-</t>
    </r>
    <r>
      <rPr>
        <sz val="12"/>
        <rFont val="宋体"/>
        <charset val="134"/>
      </rPr>
      <t>肠旋转不良矫治（加收）</t>
    </r>
  </si>
  <si>
    <t>013310000430100</t>
  </si>
  <si>
    <r>
      <rPr>
        <sz val="12"/>
        <rFont val="宋体"/>
        <charset val="134"/>
      </rPr>
      <t>肠复位费</t>
    </r>
    <r>
      <rPr>
        <sz val="12"/>
        <rFont val="Times New Roman"/>
        <charset val="0"/>
      </rPr>
      <t>-</t>
    </r>
    <r>
      <rPr>
        <sz val="12"/>
        <rFont val="宋体"/>
        <charset val="134"/>
      </rPr>
      <t>胃复位（扩展）</t>
    </r>
  </si>
  <si>
    <t>013310000440000</t>
  </si>
  <si>
    <t>腹腔探查费</t>
  </si>
  <si>
    <t>通过手术探查腹腔。</t>
  </si>
  <si>
    <t>所定价格涵盖手术计划、术区准备、消毒、切开、探查、缝合、处理用物等步骤所需的人力资源和基本物质资源消耗。</t>
  </si>
  <si>
    <r>
      <rPr>
        <sz val="12"/>
        <rFont val="Times New Roman"/>
        <charset val="0"/>
      </rPr>
      <t>1.</t>
    </r>
    <r>
      <rPr>
        <sz val="12"/>
        <rFont val="宋体"/>
        <charset val="134"/>
      </rPr>
      <t>不与相关腹腔手术同时收费。</t>
    </r>
    <r>
      <rPr>
        <sz val="12"/>
        <rFont val="Times New Roman"/>
        <charset val="0"/>
      </rPr>
      <t xml:space="preserve">
2.</t>
    </r>
    <r>
      <rPr>
        <sz val="12"/>
        <rFont val="宋体"/>
        <charset val="134"/>
      </rPr>
      <t>术后腹腔内出血、脓</t>
    </r>
    <r>
      <rPr>
        <sz val="12"/>
        <rFont val="Times New Roman"/>
        <charset val="0"/>
      </rPr>
      <t>/</t>
    </r>
    <r>
      <rPr>
        <sz val="12"/>
        <rFont val="宋体"/>
        <charset val="134"/>
      </rPr>
      <t>血肿行手术探查及处理适用本项目收费。</t>
    </r>
  </si>
  <si>
    <t>013310000440001</t>
  </si>
  <si>
    <r>
      <rPr>
        <sz val="12"/>
        <rFont val="宋体"/>
        <charset val="134"/>
      </rPr>
      <t>腹腔探查费</t>
    </r>
    <r>
      <rPr>
        <sz val="12"/>
        <rFont val="Times New Roman"/>
        <charset val="0"/>
      </rPr>
      <t>-</t>
    </r>
    <r>
      <rPr>
        <sz val="12"/>
        <rFont val="宋体"/>
        <charset val="134"/>
      </rPr>
      <t>儿童（加收）</t>
    </r>
  </si>
  <si>
    <t>013310000450000</t>
  </si>
  <si>
    <t>阑尾切除费</t>
  </si>
  <si>
    <t>通过手术切除阑尾。</t>
  </si>
  <si>
    <t>所定价格涵盖手术计划、术区准备、消毒、切开、探查、分离、切除、冲洗、止血、引流、缝合、处理用物等步骤所需的人力资源和基本物质资源消耗。</t>
  </si>
  <si>
    <t>013310000450001</t>
  </si>
  <si>
    <r>
      <rPr>
        <sz val="12"/>
        <rFont val="宋体"/>
        <charset val="134"/>
      </rPr>
      <t>阑尾切除费</t>
    </r>
    <r>
      <rPr>
        <sz val="12"/>
        <rFont val="Times New Roman"/>
        <charset val="0"/>
      </rPr>
      <t>-</t>
    </r>
    <r>
      <rPr>
        <sz val="12"/>
        <rFont val="宋体"/>
        <charset val="134"/>
      </rPr>
      <t>儿童（加收）</t>
    </r>
  </si>
  <si>
    <t>013310000450011</t>
  </si>
  <si>
    <r>
      <rPr>
        <sz val="12"/>
        <rFont val="宋体"/>
        <charset val="134"/>
      </rPr>
      <t>阑尾切除费</t>
    </r>
    <r>
      <rPr>
        <sz val="12"/>
        <rFont val="Times New Roman"/>
        <charset val="0"/>
      </rPr>
      <t>-</t>
    </r>
    <r>
      <rPr>
        <sz val="12"/>
        <rFont val="宋体"/>
        <charset val="134"/>
      </rPr>
      <t>穿孔</t>
    </r>
    <r>
      <rPr>
        <sz val="12"/>
        <rFont val="Times New Roman"/>
        <charset val="0"/>
      </rPr>
      <t>/</t>
    </r>
    <r>
      <rPr>
        <sz val="12"/>
        <rFont val="宋体"/>
        <charset val="134"/>
      </rPr>
      <t>坏疽阑尾（加收）</t>
    </r>
  </si>
  <si>
    <t>013310000460000</t>
  </si>
  <si>
    <t>结肠部分切除费</t>
  </si>
  <si>
    <t>通过手术切除部分结肠。</t>
  </si>
  <si>
    <t>所定价格涵盖手术计划、术区准备、消毒、切开、探查、分离、切除、必要时吻合、止血、缝合、处理用物等步骤所需的人力资源和基本物质资源消耗。</t>
  </si>
  <si>
    <t>013310000460001</t>
  </si>
  <si>
    <r>
      <rPr>
        <sz val="12"/>
        <rFont val="宋体"/>
        <charset val="134"/>
      </rPr>
      <t>结肠部分切除费</t>
    </r>
    <r>
      <rPr>
        <sz val="12"/>
        <rFont val="Times New Roman"/>
        <charset val="0"/>
      </rPr>
      <t>-</t>
    </r>
    <r>
      <rPr>
        <sz val="12"/>
        <rFont val="宋体"/>
        <charset val="134"/>
      </rPr>
      <t>儿童（加收）</t>
    </r>
  </si>
  <si>
    <t>013310000460011</t>
  </si>
  <si>
    <r>
      <rPr>
        <sz val="12"/>
        <rFont val="宋体"/>
        <charset val="134"/>
      </rPr>
      <t>结肠部分切除费</t>
    </r>
    <r>
      <rPr>
        <sz val="12"/>
        <rFont val="Times New Roman"/>
        <charset val="0"/>
      </rPr>
      <t>-</t>
    </r>
    <r>
      <rPr>
        <sz val="12"/>
        <rFont val="宋体"/>
        <charset val="134"/>
      </rPr>
      <t>恶性肿瘤切除（加收）</t>
    </r>
  </si>
  <si>
    <t>013310000460012</t>
  </si>
  <si>
    <r>
      <rPr>
        <sz val="12"/>
        <rFont val="宋体"/>
        <charset val="134"/>
      </rPr>
      <t>结肠部分切除费</t>
    </r>
    <r>
      <rPr>
        <sz val="12"/>
        <rFont val="Times New Roman"/>
        <charset val="0"/>
      </rPr>
      <t>-</t>
    </r>
    <r>
      <rPr>
        <sz val="12"/>
        <rFont val="宋体"/>
        <charset val="134"/>
      </rPr>
      <t>恶性肿瘤扩大根治性切除（加收）</t>
    </r>
  </si>
  <si>
    <t>013310000460021</t>
  </si>
  <si>
    <r>
      <rPr>
        <sz val="12"/>
        <rFont val="宋体"/>
        <charset val="134"/>
      </rPr>
      <t>结肠部分切除费</t>
    </r>
    <r>
      <rPr>
        <sz val="12"/>
        <rFont val="Times New Roman"/>
        <charset val="0"/>
      </rPr>
      <t>-</t>
    </r>
    <r>
      <rPr>
        <sz val="12"/>
        <rFont val="宋体"/>
        <charset val="134"/>
      </rPr>
      <t>两个及以上肠段切除（加收）</t>
    </r>
  </si>
  <si>
    <t>013310000470000</t>
  </si>
  <si>
    <t>结肠全切除费</t>
  </si>
  <si>
    <t>通过手术切除全部结肠和部分直肠。</t>
  </si>
  <si>
    <t>013310000470001</t>
  </si>
  <si>
    <r>
      <rPr>
        <sz val="12"/>
        <rFont val="宋体"/>
        <charset val="134"/>
      </rPr>
      <t>结肠全切除费</t>
    </r>
    <r>
      <rPr>
        <sz val="12"/>
        <rFont val="Times New Roman"/>
        <charset val="0"/>
      </rPr>
      <t>-</t>
    </r>
    <r>
      <rPr>
        <sz val="12"/>
        <rFont val="宋体"/>
        <charset val="134"/>
      </rPr>
      <t>儿童（加收）</t>
    </r>
  </si>
  <si>
    <t>013310000470011</t>
  </si>
  <si>
    <r>
      <rPr>
        <sz val="12"/>
        <rFont val="宋体"/>
        <charset val="134"/>
      </rPr>
      <t>结肠全切除费</t>
    </r>
    <r>
      <rPr>
        <sz val="12"/>
        <rFont val="Times New Roman"/>
        <charset val="0"/>
      </rPr>
      <t>-</t>
    </r>
    <r>
      <rPr>
        <sz val="12"/>
        <rFont val="宋体"/>
        <charset val="134"/>
      </rPr>
      <t>恶性肿瘤扩大根治性切除（加收）</t>
    </r>
  </si>
  <si>
    <t>013310000480000</t>
  </si>
  <si>
    <t>肠储存袋成形费</t>
  </si>
  <si>
    <t>通过手术制作储袋替代肠道功能。</t>
  </si>
  <si>
    <t>所定价格涵盖手术计划、术区准备、消毒、切开、探查、分离、制作储袋、冲洗、止血、引流、缝合、处理用物等步骤所需的人力资源和基本物质资源消耗。</t>
  </si>
  <si>
    <t>013310000480001</t>
  </si>
  <si>
    <r>
      <rPr>
        <sz val="12"/>
        <rFont val="宋体"/>
        <charset val="134"/>
      </rPr>
      <t>肠储存袋成形费</t>
    </r>
    <r>
      <rPr>
        <sz val="12"/>
        <rFont val="Times New Roman"/>
        <charset val="0"/>
      </rPr>
      <t>-</t>
    </r>
    <r>
      <rPr>
        <sz val="12"/>
        <rFont val="宋体"/>
        <charset val="134"/>
      </rPr>
      <t>儿童（加收）</t>
    </r>
  </si>
  <si>
    <t>013310000490000</t>
  </si>
  <si>
    <r>
      <rPr>
        <sz val="12"/>
        <rFont val="宋体"/>
        <charset val="134"/>
      </rPr>
      <t>结肠造瘘</t>
    </r>
    <r>
      <rPr>
        <sz val="12"/>
        <rFont val="Times New Roman"/>
        <charset val="0"/>
      </rPr>
      <t>/</t>
    </r>
    <r>
      <rPr>
        <sz val="12"/>
        <rFont val="宋体"/>
        <charset val="134"/>
      </rPr>
      <t>口费</t>
    </r>
  </si>
  <si>
    <t>通过手术将结肠提至体外，使肠道内容物排出。</t>
  </si>
  <si>
    <t>所定价格涵盖手术计划、术区准备、消毒、切开、探查、分离、切段、造口、固定、止血、缝合、处理用物等步骤所需的人力资源和基本物质资源消耗。</t>
  </si>
  <si>
    <t>013310000490001</t>
  </si>
  <si>
    <r>
      <rPr>
        <sz val="12"/>
        <rFont val="宋体"/>
        <charset val="134"/>
      </rPr>
      <t>结肠造瘘</t>
    </r>
    <r>
      <rPr>
        <sz val="12"/>
        <rFont val="Times New Roman"/>
        <charset val="0"/>
      </rPr>
      <t>/</t>
    </r>
    <r>
      <rPr>
        <sz val="12"/>
        <rFont val="宋体"/>
        <charset val="134"/>
      </rPr>
      <t>口费</t>
    </r>
    <r>
      <rPr>
        <sz val="12"/>
        <rFont val="Times New Roman"/>
        <charset val="0"/>
      </rPr>
      <t>-</t>
    </r>
    <r>
      <rPr>
        <sz val="12"/>
        <rFont val="宋体"/>
        <charset val="134"/>
      </rPr>
      <t>儿童（加收）</t>
    </r>
  </si>
  <si>
    <t>013310000490100</t>
  </si>
  <si>
    <r>
      <rPr>
        <sz val="12"/>
        <rFont val="宋体"/>
        <charset val="134"/>
      </rPr>
      <t>结肠造瘘</t>
    </r>
    <r>
      <rPr>
        <sz val="12"/>
        <rFont val="Times New Roman"/>
        <charset val="0"/>
      </rPr>
      <t>/</t>
    </r>
    <r>
      <rPr>
        <sz val="12"/>
        <rFont val="宋体"/>
        <charset val="134"/>
      </rPr>
      <t>口费</t>
    </r>
    <r>
      <rPr>
        <sz val="12"/>
        <rFont val="Times New Roman"/>
        <charset val="0"/>
      </rPr>
      <t>-</t>
    </r>
    <r>
      <rPr>
        <sz val="12"/>
        <rFont val="宋体"/>
        <charset val="134"/>
      </rPr>
      <t>回肠造瘘</t>
    </r>
    <r>
      <rPr>
        <sz val="12"/>
        <rFont val="Times New Roman"/>
        <charset val="0"/>
      </rPr>
      <t>/</t>
    </r>
    <r>
      <rPr>
        <sz val="12"/>
        <rFont val="宋体"/>
        <charset val="134"/>
      </rPr>
      <t>口（扩展）</t>
    </r>
  </si>
  <si>
    <t>013310000500000</t>
  </si>
  <si>
    <t>结肠悬吊费</t>
  </si>
  <si>
    <t>通过手术恢复脱垂结肠的生理结构。</t>
  </si>
  <si>
    <t>所定价格涵盖手术计划、术区准备、消毒、切开、探查、分离、悬吊、固定、止血、缝合、处理用物等步骤所需的人力资源和基本物质资源消耗。</t>
  </si>
  <si>
    <t>013310000500001</t>
  </si>
  <si>
    <r>
      <rPr>
        <sz val="12"/>
        <rFont val="宋体"/>
        <charset val="134"/>
      </rPr>
      <t>结肠悬吊费</t>
    </r>
    <r>
      <rPr>
        <sz val="12"/>
        <rFont val="Times New Roman"/>
        <charset val="0"/>
      </rPr>
      <t>-</t>
    </r>
    <r>
      <rPr>
        <sz val="12"/>
        <rFont val="宋体"/>
        <charset val="134"/>
      </rPr>
      <t>儿童（加收）</t>
    </r>
  </si>
  <si>
    <t>013310000510000</t>
  </si>
  <si>
    <r>
      <rPr>
        <sz val="12"/>
        <rFont val="宋体"/>
        <charset val="134"/>
      </rPr>
      <t>肠造瘘</t>
    </r>
    <r>
      <rPr>
        <sz val="12"/>
        <rFont val="Times New Roman"/>
        <charset val="0"/>
      </rPr>
      <t>/</t>
    </r>
    <r>
      <rPr>
        <sz val="12"/>
        <rFont val="宋体"/>
        <charset val="134"/>
      </rPr>
      <t>口还纳费</t>
    </r>
  </si>
  <si>
    <r>
      <rPr>
        <sz val="12"/>
        <rFont val="宋体"/>
        <charset val="134"/>
      </rPr>
      <t>通过手术将肠造瘘</t>
    </r>
    <r>
      <rPr>
        <sz val="12"/>
        <rFont val="Times New Roman"/>
        <charset val="0"/>
      </rPr>
      <t>/</t>
    </r>
    <r>
      <rPr>
        <sz val="12"/>
        <rFont val="宋体"/>
        <charset val="134"/>
      </rPr>
      <t>口部位的肠管重新纳入腹腔。</t>
    </r>
  </si>
  <si>
    <t>所定价格涵盖手术计划、术区准备、消毒、切开、探查、松解、分离、切除、吻合、冲洗、止血、引流、缝合、处理用物等步骤所需的人力资源和基本物质资源消耗。</t>
  </si>
  <si>
    <t>013310000510001</t>
  </si>
  <si>
    <r>
      <rPr>
        <sz val="12"/>
        <rFont val="宋体"/>
        <charset val="134"/>
      </rPr>
      <t>肠造瘘</t>
    </r>
    <r>
      <rPr>
        <sz val="12"/>
        <rFont val="Times New Roman"/>
        <charset val="0"/>
      </rPr>
      <t>/</t>
    </r>
    <r>
      <rPr>
        <sz val="12"/>
        <rFont val="宋体"/>
        <charset val="134"/>
      </rPr>
      <t>口还纳费</t>
    </r>
    <r>
      <rPr>
        <sz val="12"/>
        <rFont val="Times New Roman"/>
        <charset val="0"/>
      </rPr>
      <t xml:space="preserve">-
</t>
    </r>
    <r>
      <rPr>
        <sz val="12"/>
        <rFont val="宋体"/>
        <charset val="134"/>
      </rPr>
      <t>儿童（加收）</t>
    </r>
  </si>
  <si>
    <t>013310000520000</t>
  </si>
  <si>
    <t>直肠病变切除费</t>
  </si>
  <si>
    <t>通过手术切除直肠病变（未侵犯直肠肌层）。</t>
  </si>
  <si>
    <t>所定价格涵盖手术计划、术区准备、消毒、切开、探查、分离、切除、止血、缝合、处理用物等步骤所需的人力资源和基本物质资源消耗。</t>
  </si>
  <si>
    <t>013310000520001</t>
  </si>
  <si>
    <r>
      <rPr>
        <sz val="12"/>
        <rFont val="宋体"/>
        <charset val="134"/>
      </rPr>
      <t>直肠病变切除费</t>
    </r>
    <r>
      <rPr>
        <sz val="12"/>
        <rFont val="Times New Roman"/>
        <charset val="0"/>
      </rPr>
      <t xml:space="preserve">-
</t>
    </r>
    <r>
      <rPr>
        <sz val="12"/>
        <rFont val="宋体"/>
        <charset val="134"/>
      </rPr>
      <t>儿童（加收）</t>
    </r>
  </si>
  <si>
    <t>013310000530000</t>
  </si>
  <si>
    <t>直肠部分切除费</t>
  </si>
  <si>
    <t>通过手术切除部分直肠。</t>
  </si>
  <si>
    <t>013310000530001</t>
  </si>
  <si>
    <r>
      <rPr>
        <sz val="12"/>
        <rFont val="宋体"/>
        <charset val="134"/>
      </rPr>
      <t>直肠部分切除费</t>
    </r>
    <r>
      <rPr>
        <sz val="12"/>
        <rFont val="Times New Roman"/>
        <charset val="0"/>
      </rPr>
      <t>-</t>
    </r>
    <r>
      <rPr>
        <sz val="12"/>
        <rFont val="宋体"/>
        <charset val="134"/>
      </rPr>
      <t>儿童（加收）</t>
    </r>
  </si>
  <si>
    <t>013310000530011</t>
  </si>
  <si>
    <r>
      <rPr>
        <sz val="12"/>
        <rFont val="宋体"/>
        <charset val="134"/>
      </rPr>
      <t>直肠部分切除费</t>
    </r>
    <r>
      <rPr>
        <sz val="12"/>
        <rFont val="Times New Roman"/>
        <charset val="0"/>
      </rPr>
      <t>-</t>
    </r>
    <r>
      <rPr>
        <sz val="12"/>
        <rFont val="宋体"/>
        <charset val="134"/>
      </rPr>
      <t>恶性肿瘤切除</t>
    </r>
    <r>
      <rPr>
        <sz val="12"/>
        <rFont val="Times New Roman"/>
        <charset val="0"/>
      </rPr>
      <t xml:space="preserve">
</t>
    </r>
    <r>
      <rPr>
        <sz val="12"/>
        <rFont val="宋体"/>
        <charset val="134"/>
      </rPr>
      <t>（加收）</t>
    </r>
  </si>
  <si>
    <t>013310000530012</t>
  </si>
  <si>
    <r>
      <rPr>
        <sz val="12"/>
        <rFont val="宋体"/>
        <charset val="134"/>
      </rPr>
      <t>直肠部分切除费</t>
    </r>
    <r>
      <rPr>
        <sz val="12"/>
        <rFont val="Times New Roman"/>
        <charset val="0"/>
      </rPr>
      <t>-</t>
    </r>
    <r>
      <rPr>
        <sz val="12"/>
        <rFont val="宋体"/>
        <charset val="134"/>
      </rPr>
      <t>恶性肿瘤扩大根治性切除（加收）</t>
    </r>
  </si>
  <si>
    <t>013310000540000</t>
  </si>
  <si>
    <t>直肠全切除费</t>
  </si>
  <si>
    <t>通过手术切除全部直肠。</t>
  </si>
  <si>
    <t>所定价格涵盖手术计划、术区准备、消毒、切开、探查、分离、切除、造口、止血、缝合、处理用物等步骤所需的人力资源和基本物质资源消耗。</t>
  </si>
  <si>
    <t>013310000540001</t>
  </si>
  <si>
    <r>
      <rPr>
        <sz val="12"/>
        <rFont val="宋体"/>
        <charset val="134"/>
      </rPr>
      <t>直肠全切除费</t>
    </r>
    <r>
      <rPr>
        <sz val="12"/>
        <rFont val="Times New Roman"/>
        <charset val="0"/>
      </rPr>
      <t>-</t>
    </r>
    <r>
      <rPr>
        <sz val="12"/>
        <rFont val="宋体"/>
        <charset val="134"/>
      </rPr>
      <t>儿童（加收）</t>
    </r>
  </si>
  <si>
    <t>013310000540011</t>
  </si>
  <si>
    <r>
      <rPr>
        <sz val="12"/>
        <rFont val="宋体"/>
        <charset val="134"/>
      </rPr>
      <t>直肠全切除费</t>
    </r>
    <r>
      <rPr>
        <sz val="12"/>
        <rFont val="Times New Roman"/>
        <charset val="0"/>
      </rPr>
      <t>-</t>
    </r>
    <r>
      <rPr>
        <sz val="12"/>
        <rFont val="宋体"/>
        <charset val="134"/>
      </rPr>
      <t>恶性肿瘤扩大根治性切除（加收）</t>
    </r>
  </si>
  <si>
    <t>013310000550000</t>
  </si>
  <si>
    <t>超低位直肠癌根治费（保肛）</t>
  </si>
  <si>
    <r>
      <rPr>
        <sz val="12"/>
        <rFont val="宋体"/>
        <charset val="134"/>
      </rPr>
      <t>通过手术根治距离肛门</t>
    </r>
    <r>
      <rPr>
        <sz val="12"/>
        <rFont val="Times New Roman"/>
        <charset val="0"/>
      </rPr>
      <t>5cm</t>
    </r>
    <r>
      <rPr>
        <sz val="12"/>
        <rFont val="宋体"/>
        <charset val="134"/>
      </rPr>
      <t>以内的直肠癌。</t>
    </r>
  </si>
  <si>
    <t>所定价格涵盖手术计划、术区准备、消毒、切开、探查、分离、切除、造口、重建、冲洗、止血、引流、缝合、处理用物等步骤所需的人力资源和基本物质资源消耗。</t>
  </si>
  <si>
    <t>013310000550001</t>
  </si>
  <si>
    <r>
      <rPr>
        <sz val="12"/>
        <rFont val="宋体"/>
        <charset val="134"/>
      </rPr>
      <t>超低位直肠癌根治费（保肛）</t>
    </r>
    <r>
      <rPr>
        <sz val="12"/>
        <rFont val="Times New Roman"/>
        <charset val="0"/>
      </rPr>
      <t>-</t>
    </r>
    <r>
      <rPr>
        <sz val="12"/>
        <rFont val="宋体"/>
        <charset val="134"/>
      </rPr>
      <t>儿童（加收）</t>
    </r>
  </si>
  <si>
    <t>013310000550011</t>
  </si>
  <si>
    <r>
      <rPr>
        <sz val="12"/>
        <rFont val="宋体"/>
        <charset val="134"/>
      </rPr>
      <t>超低位直肠癌根治费（保肛）</t>
    </r>
    <r>
      <rPr>
        <sz val="12"/>
        <rFont val="Times New Roman"/>
        <charset val="0"/>
      </rPr>
      <t>-</t>
    </r>
    <r>
      <rPr>
        <sz val="12"/>
        <rFont val="宋体"/>
        <charset val="134"/>
      </rPr>
      <t>经括约肌间切除（加收）</t>
    </r>
  </si>
  <si>
    <t>013310000550012</t>
  </si>
  <si>
    <r>
      <rPr>
        <sz val="12"/>
        <rFont val="宋体"/>
        <charset val="134"/>
      </rPr>
      <t>超低位直肠癌根治费（保肛）</t>
    </r>
    <r>
      <rPr>
        <sz val="12"/>
        <rFont val="Times New Roman"/>
        <charset val="0"/>
      </rPr>
      <t>-</t>
    </r>
    <r>
      <rPr>
        <sz val="12"/>
        <rFont val="宋体"/>
        <charset val="134"/>
      </rPr>
      <t>直肠经腹肛管拉出切除（加收）</t>
    </r>
  </si>
  <si>
    <t>013310000550013</t>
  </si>
  <si>
    <r>
      <rPr>
        <sz val="12"/>
        <rFont val="宋体"/>
        <charset val="134"/>
      </rPr>
      <t>超低位直肠癌根治费（保肛）</t>
    </r>
    <r>
      <rPr>
        <sz val="12"/>
        <rFont val="Times New Roman"/>
        <charset val="0"/>
      </rPr>
      <t>-</t>
    </r>
    <r>
      <rPr>
        <sz val="12"/>
        <rFont val="宋体"/>
        <charset val="134"/>
      </rPr>
      <t>经肛全直肠系膜切除（加收）</t>
    </r>
  </si>
  <si>
    <t>013310000560000</t>
  </si>
  <si>
    <t>肠道切开异物取出费</t>
  </si>
  <si>
    <t>通过手术切开肠道取出异物。</t>
  </si>
  <si>
    <t>所定价格涵盖手术计划、术区准备、消毒、切开、探查、分离、异物取出、止血、缝合、处理用物等步骤所需的人力资源和基本物质资源消耗。</t>
  </si>
  <si>
    <t>013310000560001</t>
  </si>
  <si>
    <r>
      <rPr>
        <sz val="12"/>
        <rFont val="宋体"/>
        <charset val="134"/>
      </rPr>
      <t>肠道切开异物取出费</t>
    </r>
    <r>
      <rPr>
        <sz val="12"/>
        <rFont val="Times New Roman"/>
        <charset val="0"/>
      </rPr>
      <t>-</t>
    </r>
    <r>
      <rPr>
        <sz val="12"/>
        <rFont val="宋体"/>
        <charset val="134"/>
      </rPr>
      <t>儿童（加收）</t>
    </r>
  </si>
  <si>
    <t>013310000570000</t>
  </si>
  <si>
    <t>直肠脱垂修复费</t>
  </si>
  <si>
    <t>通过手术恢复脱垂直肠的生理结构。</t>
  </si>
  <si>
    <t>所定价格涵盖手术计划、术区准备、消毒、切开、探查、分离、切除、修复、固定、冲洗、止血、引流、缝合、处理用物等步骤所需的人力资源和基本物质资源消耗。</t>
  </si>
  <si>
    <t>013310000570001</t>
  </si>
  <si>
    <r>
      <rPr>
        <sz val="12"/>
        <rFont val="宋体"/>
        <charset val="134"/>
      </rPr>
      <t>直肠脱垂修复费</t>
    </r>
    <r>
      <rPr>
        <sz val="12"/>
        <rFont val="Times New Roman"/>
        <charset val="0"/>
      </rPr>
      <t>-</t>
    </r>
    <r>
      <rPr>
        <sz val="12"/>
        <rFont val="宋体"/>
        <charset val="134"/>
      </rPr>
      <t>儿童（加收）</t>
    </r>
  </si>
  <si>
    <t>013310000580000</t>
  </si>
  <si>
    <t>直肠前突修补费</t>
  </si>
  <si>
    <t>通过手术修复突出囊袋，修补缺损，重建直肠壁（阴道壁）。</t>
  </si>
  <si>
    <t>所定价格涵盖手术计划、术区准备、消毒、切开、探查、修补、冲洗、止血、引流、缝合、处理用物等步骤所需的人力资源和基本物质资源消耗。</t>
  </si>
  <si>
    <t>013310000580001</t>
  </si>
  <si>
    <r>
      <rPr>
        <sz val="12"/>
        <rFont val="宋体"/>
        <charset val="134"/>
      </rPr>
      <t>直肠前突修补费</t>
    </r>
    <r>
      <rPr>
        <sz val="12"/>
        <rFont val="Times New Roman"/>
        <charset val="0"/>
      </rPr>
      <t>-</t>
    </r>
    <r>
      <rPr>
        <sz val="12"/>
        <rFont val="宋体"/>
        <charset val="134"/>
      </rPr>
      <t>儿童（加收）</t>
    </r>
  </si>
  <si>
    <t>013310000590000</t>
  </si>
  <si>
    <t>肛门会阴成形费</t>
  </si>
  <si>
    <t>通过手术修复肛门会阴解剖结构。</t>
  </si>
  <si>
    <r>
      <rPr>
        <sz val="12"/>
        <rFont val="宋体"/>
        <charset val="134"/>
      </rPr>
      <t>所定价格涵盖手术计划、术区准备、消毒、切开、探查、分离、肛门</t>
    </r>
    <r>
      <rPr>
        <sz val="12"/>
        <rFont val="Times New Roman"/>
        <charset val="0"/>
      </rPr>
      <t>/</t>
    </r>
    <r>
      <rPr>
        <sz val="12"/>
        <rFont val="宋体"/>
        <charset val="134"/>
      </rPr>
      <t>会阴重建、冲洗、止血、引流、缝合、处理用物等步骤所需的人力资源和基本物质资源消耗。</t>
    </r>
  </si>
  <si>
    <t>013310000590001</t>
  </si>
  <si>
    <r>
      <rPr>
        <sz val="12"/>
        <rFont val="宋体"/>
        <charset val="134"/>
      </rPr>
      <t>肛门会阴成形费</t>
    </r>
    <r>
      <rPr>
        <sz val="12"/>
        <rFont val="Times New Roman"/>
        <charset val="0"/>
      </rPr>
      <t>-</t>
    </r>
    <r>
      <rPr>
        <sz val="12"/>
        <rFont val="宋体"/>
        <charset val="134"/>
      </rPr>
      <t>儿童（加收）</t>
    </r>
  </si>
  <si>
    <t>013310000590100</t>
  </si>
  <si>
    <r>
      <rPr>
        <sz val="12"/>
        <rFont val="宋体"/>
        <charset val="134"/>
      </rPr>
      <t>肛门会阴成形费</t>
    </r>
    <r>
      <rPr>
        <sz val="12"/>
        <rFont val="Times New Roman"/>
        <charset val="0"/>
      </rPr>
      <t>-</t>
    </r>
    <r>
      <rPr>
        <sz val="12"/>
        <rFont val="宋体"/>
        <charset val="134"/>
      </rPr>
      <t>先天性肛门闭锁成形（扩展）</t>
    </r>
  </si>
  <si>
    <t>013310000600000</t>
  </si>
  <si>
    <t>人工肛门括约肌植入费</t>
  </si>
  <si>
    <t>通过手术植入人工肛门括约肌。</t>
  </si>
  <si>
    <t>所定价格涵盖手术计划、术区准备、消毒、切开、探查、分离、植入、冲洗、止血、引流、缝合、处理用物等步骤所需的人力资源和基本物质资源消耗。</t>
  </si>
  <si>
    <t>013310000600001</t>
  </si>
  <si>
    <r>
      <rPr>
        <sz val="12"/>
        <rFont val="宋体"/>
        <charset val="134"/>
      </rPr>
      <t>人工肛门括约肌植入费</t>
    </r>
    <r>
      <rPr>
        <sz val="12"/>
        <rFont val="Times New Roman"/>
        <charset val="0"/>
      </rPr>
      <t>-</t>
    </r>
    <r>
      <rPr>
        <sz val="12"/>
        <rFont val="宋体"/>
        <charset val="134"/>
      </rPr>
      <t>儿童（加收）</t>
    </r>
  </si>
  <si>
    <t>013310000610000</t>
  </si>
  <si>
    <t>人工肛门括约肌取出费</t>
  </si>
  <si>
    <t>通过手术取出人工肛门括约肌。</t>
  </si>
  <si>
    <t>所定价格涵盖手术计划、术区准备、消毒、切开、探查、分离、取出、止血、缝合、处理用物等步骤所需的人力资源和基本物质资源消耗。</t>
  </si>
  <si>
    <t>013310000610001</t>
  </si>
  <si>
    <r>
      <rPr>
        <sz val="12"/>
        <rFont val="宋体"/>
        <charset val="134"/>
      </rPr>
      <t>人工肛门括约肌取出费</t>
    </r>
    <r>
      <rPr>
        <sz val="12"/>
        <rFont val="Times New Roman"/>
        <charset val="0"/>
      </rPr>
      <t>-</t>
    </r>
    <r>
      <rPr>
        <sz val="12"/>
        <rFont val="宋体"/>
        <charset val="134"/>
      </rPr>
      <t>儿童（加收）</t>
    </r>
  </si>
  <si>
    <t>013310000620000</t>
  </si>
  <si>
    <t>先天性一穴肛矫治费</t>
  </si>
  <si>
    <t>通过手术矫治先天性一穴肛。</t>
  </si>
  <si>
    <t>所定价格涵盖手术计划、术区准备、消毒、切开、探查、分离、切除、重建、吻合、止血、缝合、处理用物等步骤所需的人力资源和基本物质资源消耗。</t>
  </si>
  <si>
    <t>013310000620001</t>
  </si>
  <si>
    <r>
      <rPr>
        <sz val="12"/>
        <rFont val="宋体"/>
        <charset val="134"/>
      </rPr>
      <t>先天性一穴肛矫治费</t>
    </r>
    <r>
      <rPr>
        <sz val="12"/>
        <rFont val="Times New Roman"/>
        <charset val="0"/>
      </rPr>
      <t>-</t>
    </r>
    <r>
      <rPr>
        <sz val="12"/>
        <rFont val="宋体"/>
        <charset val="134"/>
      </rPr>
      <t>儿童（加收）</t>
    </r>
  </si>
  <si>
    <t>013310000630000</t>
  </si>
  <si>
    <t>盆腔脓肿切开引流费</t>
  </si>
  <si>
    <t>通过手术切开引流盆腔脓肿。</t>
  </si>
  <si>
    <t>所定价格涵盖手术计划、术区准备、消毒、切开、探查、冲洗、止血、引流、包扎固定、处理用物等步骤所需的人力资源和基本物质资源消耗。</t>
  </si>
  <si>
    <t>013310000630001</t>
  </si>
  <si>
    <r>
      <rPr>
        <sz val="12"/>
        <rFont val="宋体"/>
        <charset val="134"/>
      </rPr>
      <t>盆腔脓肿切开引流费</t>
    </r>
    <r>
      <rPr>
        <sz val="12"/>
        <rFont val="Times New Roman"/>
        <charset val="0"/>
      </rPr>
      <t>-</t>
    </r>
    <r>
      <rPr>
        <sz val="12"/>
        <rFont val="宋体"/>
        <charset val="134"/>
      </rPr>
      <t>儿童（加收）</t>
    </r>
  </si>
  <si>
    <t>013310000640000</t>
  </si>
  <si>
    <t>腹盆腔异物取出费</t>
  </si>
  <si>
    <t>通过手术取出腹盆腔异物。</t>
  </si>
  <si>
    <t>013310000640001</t>
  </si>
  <si>
    <r>
      <rPr>
        <sz val="12"/>
        <rFont val="宋体"/>
        <charset val="134"/>
      </rPr>
      <t>腹盆腔异物取出费</t>
    </r>
    <r>
      <rPr>
        <sz val="12"/>
        <rFont val="Times New Roman"/>
        <charset val="0"/>
      </rPr>
      <t>-</t>
    </r>
    <r>
      <rPr>
        <sz val="12"/>
        <rFont val="宋体"/>
        <charset val="134"/>
      </rPr>
      <t>儿童（加收）</t>
    </r>
  </si>
  <si>
    <t>013310000650000</t>
  </si>
  <si>
    <t>肛门镜检查费</t>
  </si>
  <si>
    <t>通过肛门镜观察肛管、直肠内有无病变及异常。</t>
  </si>
  <si>
    <t>所定价格涵盖准备、消毒、置镜、观察、记录、撤镜、处理用物等步骤所需的人力资源和基本物质资源消耗。</t>
  </si>
  <si>
    <t>013310000650001</t>
  </si>
  <si>
    <r>
      <rPr>
        <sz val="12"/>
        <rFont val="宋体"/>
        <charset val="134"/>
      </rPr>
      <t>肛门镜检查费</t>
    </r>
    <r>
      <rPr>
        <sz val="12"/>
        <rFont val="Times New Roman"/>
        <charset val="0"/>
      </rPr>
      <t>-</t>
    </r>
    <r>
      <rPr>
        <sz val="12"/>
        <rFont val="宋体"/>
        <charset val="134"/>
      </rPr>
      <t>儿童（加收）</t>
    </r>
  </si>
  <si>
    <t>013310000660000</t>
  </si>
  <si>
    <t>肛门指检费</t>
  </si>
  <si>
    <t>通过指诊对肛门、肛管、直肠下段进行检查。</t>
  </si>
  <si>
    <t>所定价格涵盖准备、指检、观察、记录、处理用物等步骤所需的人力资源和基本物质资源消耗。</t>
  </si>
  <si>
    <t>013310000660001</t>
  </si>
  <si>
    <r>
      <rPr>
        <sz val="12"/>
        <rFont val="宋体"/>
        <charset val="134"/>
      </rPr>
      <t>肛门指检费</t>
    </r>
    <r>
      <rPr>
        <sz val="12"/>
        <rFont val="Times New Roman"/>
        <charset val="0"/>
      </rPr>
      <t>-</t>
    </r>
    <r>
      <rPr>
        <sz val="12"/>
        <rFont val="宋体"/>
        <charset val="134"/>
      </rPr>
      <t>儿童（加收）</t>
    </r>
  </si>
  <si>
    <t>013310000670000</t>
  </si>
  <si>
    <t>扩肛治疗费</t>
  </si>
  <si>
    <t>通过人工或器械手段扩肛。</t>
  </si>
  <si>
    <t>所定价格涵盖准备、按摩、反复扩张、处理用物等步骤所需的人力资源和基本物质资源消耗。</t>
  </si>
  <si>
    <t>013310000670001</t>
  </si>
  <si>
    <r>
      <rPr>
        <sz val="12"/>
        <rFont val="宋体"/>
        <charset val="134"/>
      </rPr>
      <t>扩肛治疗费</t>
    </r>
    <r>
      <rPr>
        <sz val="12"/>
        <rFont val="Times New Roman"/>
        <charset val="0"/>
      </rPr>
      <t>-</t>
    </r>
    <r>
      <rPr>
        <sz val="12"/>
        <rFont val="宋体"/>
        <charset val="134"/>
      </rPr>
      <t>儿童（加收）</t>
    </r>
  </si>
  <si>
    <t>013310000680000</t>
  </si>
  <si>
    <t>直肠内异物取出费</t>
  </si>
  <si>
    <t>通过手法或器械取出直肠内异物。</t>
  </si>
  <si>
    <t>所定价格涵盖准备、消毒、扩张、异物取出、冲洗、处理用物等步骤所需的人力资源和基本物质资源消耗。</t>
  </si>
  <si>
    <t>013310000680001</t>
  </si>
  <si>
    <r>
      <rPr>
        <sz val="12"/>
        <rFont val="宋体"/>
        <charset val="134"/>
      </rPr>
      <t>直肠内异物取出费</t>
    </r>
    <r>
      <rPr>
        <sz val="12"/>
        <rFont val="Times New Roman"/>
        <charset val="0"/>
      </rPr>
      <t>-</t>
    </r>
    <r>
      <rPr>
        <sz val="12"/>
        <rFont val="宋体"/>
        <charset val="134"/>
      </rPr>
      <t>儿童（加收）</t>
    </r>
  </si>
  <si>
    <t>013310000690000</t>
  </si>
  <si>
    <t>外痔切除费</t>
  </si>
  <si>
    <t>通过手术剥离切除外痔。</t>
  </si>
  <si>
    <t>所定价格涵盖手术计划、术区准备、消毒、探查、分离、切除、冲洗、止血、引流、包扎固定、处理用物等步骤所需的人力资源和基本物质资源消耗。</t>
  </si>
  <si>
    <t>混合痔治疗可按照内痔、外痔治疗分别收费。同一台手术最多收费一次。</t>
  </si>
  <si>
    <t>013310000690001</t>
  </si>
  <si>
    <r>
      <rPr>
        <sz val="12"/>
        <rFont val="宋体"/>
        <charset val="134"/>
      </rPr>
      <t>外痔切除费</t>
    </r>
    <r>
      <rPr>
        <sz val="12"/>
        <rFont val="Times New Roman"/>
        <charset val="0"/>
      </rPr>
      <t>-</t>
    </r>
    <r>
      <rPr>
        <sz val="12"/>
        <rFont val="宋体"/>
        <charset val="134"/>
      </rPr>
      <t>儿童（加收）</t>
    </r>
  </si>
  <si>
    <t>013310000690011</t>
  </si>
  <si>
    <r>
      <rPr>
        <sz val="12"/>
        <rFont val="宋体"/>
        <charset val="134"/>
      </rPr>
      <t>外痔切除费</t>
    </r>
    <r>
      <rPr>
        <sz val="12"/>
        <rFont val="Times New Roman"/>
        <charset val="0"/>
      </rPr>
      <t>-</t>
    </r>
    <r>
      <rPr>
        <sz val="12"/>
        <rFont val="宋体"/>
        <charset val="134"/>
      </rPr>
      <t>嵌顿血栓性外痔（加收）</t>
    </r>
  </si>
  <si>
    <t>013310000700000</t>
  </si>
  <si>
    <t>内痔切除费</t>
  </si>
  <si>
    <t>通过手术切除内痔。</t>
  </si>
  <si>
    <t>所定价格涵盖手术计划、术区准备、消毒、探查、扩肛、切除、冲洗、止血、引流、包扎固定、处理用物等步骤所需的人力资源和基本物质资源消耗。</t>
  </si>
  <si>
    <t>013310000700001</t>
  </si>
  <si>
    <r>
      <rPr>
        <sz val="12"/>
        <rFont val="宋体"/>
        <charset val="134"/>
      </rPr>
      <t>内痔切除费</t>
    </r>
    <r>
      <rPr>
        <sz val="12"/>
        <rFont val="Times New Roman"/>
        <charset val="0"/>
      </rPr>
      <t>-</t>
    </r>
    <r>
      <rPr>
        <sz val="12"/>
        <rFont val="宋体"/>
        <charset val="134"/>
      </rPr>
      <t>儿童</t>
    </r>
    <r>
      <rPr>
        <sz val="12"/>
        <rFont val="Times New Roman"/>
        <charset val="0"/>
      </rPr>
      <t xml:space="preserve">
</t>
    </r>
    <r>
      <rPr>
        <sz val="12"/>
        <rFont val="宋体"/>
        <charset val="134"/>
      </rPr>
      <t>（加收）</t>
    </r>
  </si>
  <si>
    <t>013310000710000</t>
  </si>
  <si>
    <t>注射费（痔疮硬化）</t>
  </si>
  <si>
    <t>通过注射治疗痔疮。</t>
  </si>
  <si>
    <t>所定价格涵盖制定计划、消毒、准备、注射、包扎固定、处理用物等步骤所需的人力资源和基本物质资源消耗。</t>
  </si>
  <si>
    <t>痔核</t>
  </si>
  <si>
    <t>013310000710001</t>
  </si>
  <si>
    <r>
      <rPr>
        <sz val="12"/>
        <rFont val="宋体"/>
        <charset val="134"/>
      </rPr>
      <t>注射费（痔疮硬化）</t>
    </r>
    <r>
      <rPr>
        <sz val="12"/>
        <rFont val="Times New Roman"/>
        <charset val="0"/>
      </rPr>
      <t>-</t>
    </r>
    <r>
      <rPr>
        <sz val="12"/>
        <rFont val="宋体"/>
        <charset val="134"/>
      </rPr>
      <t>儿童（加收）</t>
    </r>
  </si>
  <si>
    <t>013310000720000</t>
  </si>
  <si>
    <t>注射费（直肠脱垂）</t>
  </si>
  <si>
    <t>通过注射治疗直肠脱垂。</t>
  </si>
  <si>
    <t>013310000720001</t>
  </si>
  <si>
    <r>
      <rPr>
        <sz val="12"/>
        <rFont val="宋体"/>
        <charset val="134"/>
      </rPr>
      <t>注射费（直肠脱垂）</t>
    </r>
    <r>
      <rPr>
        <sz val="12"/>
        <rFont val="Times New Roman"/>
        <charset val="0"/>
      </rPr>
      <t>-</t>
    </r>
    <r>
      <rPr>
        <sz val="12"/>
        <rFont val="宋体"/>
        <charset val="134"/>
      </rPr>
      <t>儿童（加收）</t>
    </r>
  </si>
  <si>
    <t>013310000730000</t>
  </si>
  <si>
    <t>注射费（肛周封闭）</t>
  </si>
  <si>
    <t>通过局部多点注射进行肛周封闭。</t>
  </si>
  <si>
    <t>所定价格涵盖制定计划、消毒、准备、多点注射、包扎固定、处理用物等步骤所需的人力资源和基本物质资源消耗。</t>
  </si>
  <si>
    <t>013310000730001</t>
  </si>
  <si>
    <r>
      <rPr>
        <sz val="12"/>
        <rFont val="宋体"/>
        <charset val="134"/>
      </rPr>
      <t>注射费（肛周封闭）</t>
    </r>
    <r>
      <rPr>
        <sz val="12"/>
        <rFont val="Times New Roman"/>
        <charset val="0"/>
      </rPr>
      <t>-</t>
    </r>
    <r>
      <rPr>
        <sz val="12"/>
        <rFont val="宋体"/>
        <charset val="134"/>
      </rPr>
      <t>儿童（加收）</t>
    </r>
  </si>
  <si>
    <t>013310000740000</t>
  </si>
  <si>
    <t>内痔套扎费</t>
  </si>
  <si>
    <t>通过套扎使内痔萎缩脱落。</t>
  </si>
  <si>
    <t>所定价格涵盖制定计划、消毒、扩张、探查、剥离、套扎、包扎固定、处理用物等步骤所需的人力资源和基本物质资源消耗。</t>
  </si>
  <si>
    <t>013310000740001</t>
  </si>
  <si>
    <r>
      <rPr>
        <sz val="12"/>
        <rFont val="宋体"/>
        <charset val="134"/>
      </rPr>
      <t>内痔套扎费</t>
    </r>
    <r>
      <rPr>
        <sz val="12"/>
        <rFont val="Times New Roman"/>
        <charset val="0"/>
      </rPr>
      <t>-</t>
    </r>
    <r>
      <rPr>
        <sz val="12"/>
        <rFont val="宋体"/>
        <charset val="134"/>
      </rPr>
      <t>儿童</t>
    </r>
    <r>
      <rPr>
        <sz val="12"/>
        <rFont val="Times New Roman"/>
        <charset val="0"/>
      </rPr>
      <t xml:space="preserve">
</t>
    </r>
    <r>
      <rPr>
        <sz val="12"/>
        <rFont val="宋体"/>
        <charset val="134"/>
      </rPr>
      <t>（加收）</t>
    </r>
  </si>
  <si>
    <t>013310000750000</t>
  </si>
  <si>
    <t>低位肛瘘修复费</t>
  </si>
  <si>
    <t>通过手术修复低位肛瘘。</t>
  </si>
  <si>
    <t>所定价格涵盖手术计划、术区准备、消毒、探查、清创、挂线或填充、必要时切除坏死组织、冲洗、止血、引流、包扎固定、处理用物等步骤所需的人力资源和基本物质资源消耗。</t>
  </si>
  <si>
    <r>
      <rPr>
        <sz val="12"/>
        <rFont val="宋体"/>
        <charset val="134"/>
      </rPr>
      <t>本项目中的</t>
    </r>
    <r>
      <rPr>
        <sz val="12"/>
        <rFont val="Times New Roman"/>
        <charset val="0"/>
      </rPr>
      <t>“</t>
    </r>
    <r>
      <rPr>
        <sz val="12"/>
        <rFont val="宋体"/>
        <charset val="134"/>
      </rPr>
      <t>多瘘管</t>
    </r>
    <r>
      <rPr>
        <sz val="12"/>
        <rFont val="Times New Roman"/>
        <charset val="0"/>
      </rPr>
      <t>”</t>
    </r>
    <r>
      <rPr>
        <sz val="12"/>
        <rFont val="宋体"/>
        <charset val="134"/>
      </rPr>
      <t>指：大于等于</t>
    </r>
    <r>
      <rPr>
        <sz val="12"/>
        <rFont val="Times New Roman"/>
        <charset val="0"/>
      </rPr>
      <t>2</t>
    </r>
    <r>
      <rPr>
        <sz val="12"/>
        <rFont val="宋体"/>
        <charset val="134"/>
      </rPr>
      <t>个瘘口或瘘管的情况。</t>
    </r>
  </si>
  <si>
    <t>013310000750001</t>
  </si>
  <si>
    <r>
      <rPr>
        <sz val="12"/>
        <rFont val="宋体"/>
        <charset val="134"/>
      </rPr>
      <t>低位肛瘘修复费</t>
    </r>
    <r>
      <rPr>
        <sz val="12"/>
        <rFont val="Times New Roman"/>
        <charset val="0"/>
      </rPr>
      <t>-</t>
    </r>
    <r>
      <rPr>
        <sz val="12"/>
        <rFont val="宋体"/>
        <charset val="134"/>
      </rPr>
      <t>儿童（加收）</t>
    </r>
  </si>
  <si>
    <t>013310000750011</t>
  </si>
  <si>
    <r>
      <rPr>
        <sz val="12"/>
        <rFont val="宋体"/>
        <charset val="134"/>
      </rPr>
      <t>低位肛瘘修复费</t>
    </r>
    <r>
      <rPr>
        <sz val="12"/>
        <rFont val="Times New Roman"/>
        <charset val="0"/>
      </rPr>
      <t>-</t>
    </r>
    <r>
      <rPr>
        <sz val="12"/>
        <rFont val="宋体"/>
        <charset val="134"/>
      </rPr>
      <t>多瘘管（加收）</t>
    </r>
  </si>
  <si>
    <t>013310000750021</t>
  </si>
  <si>
    <r>
      <rPr>
        <sz val="12"/>
        <rFont val="宋体"/>
        <charset val="134"/>
      </rPr>
      <t>低位肛瘘修复费</t>
    </r>
    <r>
      <rPr>
        <sz val="12"/>
        <rFont val="Times New Roman"/>
        <charset val="0"/>
      </rPr>
      <t>-</t>
    </r>
    <r>
      <rPr>
        <sz val="12"/>
        <rFont val="宋体"/>
        <charset val="134"/>
      </rPr>
      <t>弯曲瘘管（加收）</t>
    </r>
  </si>
  <si>
    <t>013310000760000</t>
  </si>
  <si>
    <t>高位肛瘘修复费</t>
  </si>
  <si>
    <t>通过手术修复高位肛瘘。</t>
  </si>
  <si>
    <t>所定价格涵盖手术计划、术区准备、消毒、探查、清创、挂线、必要时切除坏死组织、冲洗、止血、引流、包扎固定、处理用物等步骤所需的人力资源和基本物质资源消耗。</t>
  </si>
  <si>
    <t>013310000760001</t>
  </si>
  <si>
    <r>
      <rPr>
        <sz val="12"/>
        <rFont val="宋体"/>
        <charset val="134"/>
      </rPr>
      <t>高位肛瘘修复费</t>
    </r>
    <r>
      <rPr>
        <sz val="12"/>
        <rFont val="Times New Roman"/>
        <charset val="0"/>
      </rPr>
      <t>-</t>
    </r>
    <r>
      <rPr>
        <sz val="12"/>
        <rFont val="宋体"/>
        <charset val="134"/>
      </rPr>
      <t>儿童（加收）</t>
    </r>
  </si>
  <si>
    <t>013310000770000</t>
  </si>
  <si>
    <t>肛裂修复费（常规）</t>
  </si>
  <si>
    <t>通过手术修复肛裂。</t>
  </si>
  <si>
    <t>所定价格涵盖手术计划、术区准备、消毒、扩张、切开、探查、切除、修复、包扎固定、处理用物等步骤所需的人力资源和基本物质资源消耗。</t>
  </si>
  <si>
    <t>013310000770001</t>
  </si>
  <si>
    <r>
      <rPr>
        <sz val="12"/>
        <rFont val="宋体"/>
        <charset val="134"/>
      </rPr>
      <t>肛裂修复费（常规）</t>
    </r>
    <r>
      <rPr>
        <sz val="12"/>
        <rFont val="Times New Roman"/>
        <charset val="0"/>
      </rPr>
      <t>-</t>
    </r>
    <r>
      <rPr>
        <sz val="12"/>
        <rFont val="宋体"/>
        <charset val="134"/>
      </rPr>
      <t>儿童（加收）</t>
    </r>
  </si>
  <si>
    <t>013310000780000</t>
  </si>
  <si>
    <t>肛裂修复费（复杂）</t>
  </si>
  <si>
    <t>通过手术修复复杂肛裂。</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</si>
  <si>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指：陈旧性肛裂伴皮下瘘、伴肛乳头瘤、伴哨兵的肛裂。</t>
    </r>
  </si>
  <si>
    <t>013310000780001</t>
  </si>
  <si>
    <r>
      <rPr>
        <sz val="12"/>
        <rFont val="宋体"/>
        <charset val="134"/>
      </rPr>
      <t>肛裂修复费（复杂）</t>
    </r>
    <r>
      <rPr>
        <sz val="12"/>
        <rFont val="Times New Roman"/>
        <charset val="0"/>
      </rPr>
      <t>-</t>
    </r>
    <r>
      <rPr>
        <sz val="12"/>
        <rFont val="宋体"/>
        <charset val="134"/>
      </rPr>
      <t>儿童（加收）</t>
    </r>
  </si>
  <si>
    <t>013310000790000</t>
  </si>
  <si>
    <t>肛周脓肿切开引流费</t>
  </si>
  <si>
    <t>通过手术切开引流肛周脓肿。</t>
  </si>
  <si>
    <t>013310000790001</t>
  </si>
  <si>
    <r>
      <rPr>
        <sz val="12"/>
        <rFont val="宋体"/>
        <charset val="134"/>
      </rPr>
      <t>肛周脓肿切开引流费</t>
    </r>
    <r>
      <rPr>
        <sz val="12"/>
        <rFont val="Times New Roman"/>
        <charset val="0"/>
      </rPr>
      <t>-</t>
    </r>
    <r>
      <rPr>
        <sz val="12"/>
        <rFont val="宋体"/>
        <charset val="134"/>
      </rPr>
      <t>儿童（加收）</t>
    </r>
  </si>
  <si>
    <t>013310000800000</t>
  </si>
  <si>
    <t>肛周脓肿治疗费（常规）</t>
  </si>
  <si>
    <t>通过手术修复肛周脓肿。</t>
  </si>
  <si>
    <t>所定价格涵盖手术计划、术区准备、消毒、切开、探查、清除坏死组织、冲洗、止血、引流、包扎固定、处理用物等步骤所需的人力资源和基本物质资源消耗。</t>
  </si>
  <si>
    <t>013310000800001</t>
  </si>
  <si>
    <r>
      <rPr>
        <sz val="12"/>
        <rFont val="宋体"/>
        <charset val="134"/>
      </rPr>
      <t>肛周脓肿治疗费（常规）</t>
    </r>
    <r>
      <rPr>
        <sz val="12"/>
        <rFont val="Times New Roman"/>
        <charset val="0"/>
      </rPr>
      <t>-</t>
    </r>
    <r>
      <rPr>
        <sz val="12"/>
        <rFont val="宋体"/>
        <charset val="134"/>
      </rPr>
      <t>儿童（加收）</t>
    </r>
  </si>
  <si>
    <t>013310000810000</t>
  </si>
  <si>
    <t>肛周脓肿治疗费（复杂）</t>
  </si>
  <si>
    <t>通过手术修复复杂肛周脓肿。</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</si>
  <si>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指：肛周大汗腺炎、高位肛周脓肿、脓肿半径大于</t>
    </r>
    <r>
      <rPr>
        <sz val="12"/>
        <rFont val="Times New Roman"/>
        <charset val="0"/>
      </rPr>
      <t>6cm</t>
    </r>
    <r>
      <rPr>
        <sz val="12"/>
        <rFont val="宋体"/>
        <charset val="134"/>
      </rPr>
      <t>、感染脓腔在外括约肌深层以上。</t>
    </r>
  </si>
  <si>
    <t>013310000810001</t>
  </si>
  <si>
    <r>
      <rPr>
        <sz val="12"/>
        <rFont val="宋体"/>
        <charset val="134"/>
      </rPr>
      <t>肛周脓肿治疗费（复杂）</t>
    </r>
    <r>
      <rPr>
        <sz val="12"/>
        <rFont val="Times New Roman"/>
        <charset val="0"/>
      </rPr>
      <t>-</t>
    </r>
    <r>
      <rPr>
        <sz val="12"/>
        <rFont val="宋体"/>
        <charset val="134"/>
      </rPr>
      <t>儿童（加收）</t>
    </r>
  </si>
  <si>
    <t>013310000820000</t>
  </si>
  <si>
    <t>肛周坏死性筋膜炎清创费</t>
  </si>
  <si>
    <t>通过手术切除肛周坏死组织，减轻感染扩散风险、促进伤口愈合。</t>
  </si>
  <si>
    <t>013310000820001</t>
  </si>
  <si>
    <r>
      <rPr>
        <sz val="12"/>
        <rFont val="宋体"/>
        <charset val="134"/>
      </rPr>
      <t>肛周坏死性筋膜炎清创费</t>
    </r>
    <r>
      <rPr>
        <sz val="12"/>
        <rFont val="Times New Roman"/>
        <charset val="0"/>
      </rPr>
      <t>-</t>
    </r>
    <r>
      <rPr>
        <sz val="12"/>
        <rFont val="宋体"/>
        <charset val="134"/>
      </rPr>
      <t>儿童（加收）</t>
    </r>
  </si>
  <si>
    <t>013310000820011</t>
  </si>
  <si>
    <r>
      <rPr>
        <sz val="12"/>
        <rFont val="宋体"/>
        <charset val="134"/>
      </rPr>
      <t>肛周坏死性筋膜炎清创费</t>
    </r>
    <r>
      <rPr>
        <sz val="12"/>
        <rFont val="Times New Roman"/>
        <charset val="0"/>
      </rPr>
      <t>-</t>
    </r>
    <r>
      <rPr>
        <sz val="12"/>
        <rFont val="宋体"/>
        <charset val="134"/>
      </rPr>
      <t>病变范围累及阴囊（加收）</t>
    </r>
  </si>
  <si>
    <t>013310000830000</t>
  </si>
  <si>
    <t>肛门括约肌修复费</t>
  </si>
  <si>
    <t>通过手术修复功能异常的肛门括约肌。</t>
  </si>
  <si>
    <t>所定价格涵盖手术计划、术区准备、消毒、切开、探查、修复、冲洗、止血、引流、缝合、包扎固定、处理用物等步骤所需的人力资源和基本物质资源消耗。</t>
  </si>
  <si>
    <t>013310000830001</t>
  </si>
  <si>
    <r>
      <rPr>
        <sz val="12"/>
        <rFont val="宋体"/>
        <charset val="134"/>
      </rPr>
      <t>肛门括约肌修复费</t>
    </r>
    <r>
      <rPr>
        <sz val="12"/>
        <rFont val="Times New Roman"/>
        <charset val="0"/>
      </rPr>
      <t>-</t>
    </r>
    <r>
      <rPr>
        <sz val="12"/>
        <rFont val="宋体"/>
        <charset val="134"/>
      </rPr>
      <t>儿童（加收）</t>
    </r>
  </si>
  <si>
    <t>013310000840000</t>
  </si>
  <si>
    <t>肛门直肠狭窄修复费</t>
  </si>
  <si>
    <t>通过各种方法改善肛门狭窄或痉挛。</t>
  </si>
  <si>
    <t>所定价格涵盖手术计划、术区准备、消毒、探查、扩张、挂线或切开、冲洗、止血、引流、缝合、包扎固定、处理用物等步骤所需的人力资源和基本物质资源消耗。</t>
  </si>
  <si>
    <t>013310000840001</t>
  </si>
  <si>
    <r>
      <rPr>
        <sz val="12"/>
        <rFont val="宋体"/>
        <charset val="134"/>
      </rPr>
      <t>肛门直肠狭窄修复费</t>
    </r>
    <r>
      <rPr>
        <sz val="12"/>
        <rFont val="Times New Roman"/>
        <charset val="0"/>
      </rPr>
      <t>-</t>
    </r>
    <r>
      <rPr>
        <sz val="12"/>
        <rFont val="宋体"/>
        <charset val="134"/>
      </rPr>
      <t>儿童（加收）</t>
    </r>
  </si>
  <si>
    <t>013310000850000</t>
  </si>
  <si>
    <t>藏毛窦囊肿切除费</t>
  </si>
  <si>
    <t>通过手术切除藏毛窦。</t>
  </si>
  <si>
    <t>所定价格涵盖手术计划、术区准备、消毒、切开、探查、分离、切除、冲洗、止血、引流、包扎固定、处理用物等步骤所需的人力资源和基本物质资源消耗。</t>
  </si>
  <si>
    <r>
      <rPr>
        <sz val="12"/>
        <rFont val="宋体"/>
        <charset val="134"/>
      </rPr>
      <t>除藏毛窦囊肿外，涉及肛旁浅表肿物切除按体被系统项目</t>
    </r>
    <r>
      <rPr>
        <sz val="12"/>
        <rFont val="Times New Roman"/>
        <charset val="0"/>
      </rPr>
      <t>“</t>
    </r>
    <r>
      <rPr>
        <sz val="12"/>
        <rFont val="宋体"/>
        <charset val="134"/>
      </rPr>
      <t>浅表肿物去除费</t>
    </r>
    <r>
      <rPr>
        <sz val="12"/>
        <rFont val="Times New Roman"/>
        <charset val="0"/>
      </rPr>
      <t>”</t>
    </r>
    <r>
      <rPr>
        <sz val="12"/>
        <rFont val="宋体"/>
        <charset val="134"/>
      </rPr>
      <t>收取。</t>
    </r>
  </si>
  <si>
    <t>013310000850001</t>
  </si>
  <si>
    <r>
      <rPr>
        <sz val="12"/>
        <rFont val="宋体"/>
        <charset val="134"/>
      </rPr>
      <t>藏毛窦囊肿切除费</t>
    </r>
    <r>
      <rPr>
        <sz val="12"/>
        <rFont val="Times New Roman"/>
        <charset val="0"/>
      </rPr>
      <t>-</t>
    </r>
    <r>
      <rPr>
        <sz val="12"/>
        <rFont val="宋体"/>
        <charset val="134"/>
      </rPr>
      <t>儿童（加收）</t>
    </r>
  </si>
  <si>
    <t>013310000860000</t>
  </si>
  <si>
    <t>骶前囊肿切除费</t>
  </si>
  <si>
    <t>通过手术切除骶前囊肿。</t>
  </si>
  <si>
    <t>骶前肿物按本项目收费。</t>
  </si>
  <si>
    <t>013310000860001</t>
  </si>
  <si>
    <r>
      <rPr>
        <sz val="12"/>
        <rFont val="宋体"/>
        <charset val="134"/>
      </rPr>
      <t>骶前囊肿切除费</t>
    </r>
    <r>
      <rPr>
        <sz val="12"/>
        <rFont val="Times New Roman"/>
        <charset val="0"/>
      </rPr>
      <t xml:space="preserve">-
</t>
    </r>
    <r>
      <rPr>
        <sz val="12"/>
        <rFont val="宋体"/>
        <charset val="134"/>
      </rPr>
      <t>儿童（加收）</t>
    </r>
  </si>
  <si>
    <t>013310000870000</t>
  </si>
  <si>
    <t>肛肠术后挂线调整费</t>
  </si>
  <si>
    <t>调整、拆除挂线。</t>
  </si>
  <si>
    <t>所定价格涵盖准备、消毒、探查、挂线调整、包扎固定、拆线、处理用物等步骤所需的人力资源和基本物质资源消耗。</t>
  </si>
  <si>
    <t>013310000870001</t>
  </si>
  <si>
    <r>
      <rPr>
        <sz val="12"/>
        <rFont val="宋体"/>
        <charset val="134"/>
      </rPr>
      <t>肛肠术后挂线调整费</t>
    </r>
    <r>
      <rPr>
        <sz val="12"/>
        <rFont val="Times New Roman"/>
        <charset val="0"/>
      </rPr>
      <t>-</t>
    </r>
    <r>
      <rPr>
        <sz val="12"/>
        <rFont val="宋体"/>
        <charset val="134"/>
      </rPr>
      <t>儿童（加收）</t>
    </r>
  </si>
  <si>
    <t>013310000880000</t>
  </si>
  <si>
    <t>肝脏病变非解剖性切除费</t>
  </si>
  <si>
    <t>通过手术将肝部病变行非解剖性切除。</t>
  </si>
  <si>
    <r>
      <rPr>
        <sz val="12"/>
        <rFont val="宋体"/>
        <charset val="134"/>
      </rPr>
      <t>本项目中的</t>
    </r>
    <r>
      <rPr>
        <sz val="12"/>
        <rFont val="Times New Roman"/>
        <charset val="0"/>
      </rPr>
      <t>“</t>
    </r>
    <r>
      <rPr>
        <sz val="12"/>
        <rFont val="宋体"/>
        <charset val="134"/>
      </rPr>
      <t>次</t>
    </r>
    <r>
      <rPr>
        <sz val="12"/>
        <rFont val="Times New Roman"/>
        <charset val="0"/>
      </rPr>
      <t>”</t>
    </r>
    <r>
      <rPr>
        <sz val="12"/>
        <rFont val="宋体"/>
        <charset val="134"/>
      </rPr>
      <t>指：切除</t>
    </r>
    <r>
      <rPr>
        <sz val="12"/>
        <rFont val="Times New Roman"/>
        <charset val="0"/>
      </rPr>
      <t>2</t>
    </r>
    <r>
      <rPr>
        <sz val="12"/>
        <rFont val="宋体"/>
        <charset val="134"/>
      </rPr>
      <t>个及</t>
    </r>
    <r>
      <rPr>
        <sz val="12"/>
        <rFont val="Times New Roman"/>
        <charset val="0"/>
      </rPr>
      <t>2</t>
    </r>
    <r>
      <rPr>
        <sz val="12"/>
        <rFont val="宋体"/>
        <charset val="134"/>
      </rPr>
      <t>个以内病变，超过</t>
    </r>
    <r>
      <rPr>
        <sz val="12"/>
        <rFont val="Times New Roman"/>
        <charset val="0"/>
      </rPr>
      <t>2</t>
    </r>
    <r>
      <rPr>
        <sz val="12"/>
        <rFont val="宋体"/>
        <charset val="134"/>
      </rPr>
      <t>个病变每多切除</t>
    </r>
    <r>
      <rPr>
        <sz val="12"/>
        <rFont val="Times New Roman"/>
        <charset val="0"/>
      </rPr>
      <t>1</t>
    </r>
    <r>
      <rPr>
        <sz val="12"/>
        <rFont val="宋体"/>
        <charset val="134"/>
      </rPr>
      <t>个病变按</t>
    </r>
    <r>
      <rPr>
        <sz val="12"/>
        <rFont val="Times New Roman"/>
        <charset val="0"/>
      </rPr>
      <t>10%</t>
    </r>
    <r>
      <rPr>
        <sz val="12"/>
        <rFont val="宋体"/>
        <charset val="134"/>
      </rPr>
      <t>加收。最高收费不超过4950元。</t>
    </r>
  </si>
  <si>
    <t>013310000880001</t>
  </si>
  <si>
    <r>
      <rPr>
        <sz val="12"/>
        <rFont val="宋体"/>
        <charset val="134"/>
      </rPr>
      <t>肝脏病变非解剖性切除费</t>
    </r>
    <r>
      <rPr>
        <sz val="12"/>
        <rFont val="Times New Roman"/>
        <charset val="0"/>
      </rPr>
      <t>-</t>
    </r>
    <r>
      <rPr>
        <sz val="12"/>
        <rFont val="宋体"/>
        <charset val="134"/>
      </rPr>
      <t>儿童（加收）</t>
    </r>
  </si>
  <si>
    <t>013310000890000</t>
  </si>
  <si>
    <t>半肝切除费</t>
  </si>
  <si>
    <t>通过手术切除半侧肝组织。</t>
  </si>
  <si>
    <r>
      <rPr>
        <sz val="12"/>
        <rFont val="宋体"/>
        <charset val="134"/>
      </rPr>
      <t>不与</t>
    </r>
    <r>
      <rPr>
        <sz val="12"/>
        <rFont val="Times New Roman"/>
        <charset val="0"/>
      </rPr>
      <t>“</t>
    </r>
    <r>
      <rPr>
        <sz val="12"/>
        <rFont val="宋体"/>
        <charset val="134"/>
      </rPr>
      <t>肝段解剖性切除费</t>
    </r>
    <r>
      <rPr>
        <sz val="12"/>
        <rFont val="Times New Roman"/>
        <charset val="0"/>
      </rPr>
      <t>”</t>
    </r>
    <r>
      <rPr>
        <sz val="12"/>
        <rFont val="宋体"/>
        <charset val="134"/>
      </rPr>
      <t>同时收取。</t>
    </r>
  </si>
  <si>
    <t>013310000890001</t>
  </si>
  <si>
    <r>
      <rPr>
        <sz val="12"/>
        <rFont val="宋体"/>
        <charset val="134"/>
      </rPr>
      <t>半肝切除费</t>
    </r>
    <r>
      <rPr>
        <sz val="12"/>
        <rFont val="Times New Roman"/>
        <charset val="0"/>
      </rPr>
      <t>-</t>
    </r>
    <r>
      <rPr>
        <sz val="12"/>
        <rFont val="宋体"/>
        <charset val="134"/>
      </rPr>
      <t>儿童（加收）</t>
    </r>
  </si>
  <si>
    <t>013310000890011</t>
  </si>
  <si>
    <r>
      <rPr>
        <sz val="12"/>
        <rFont val="宋体"/>
        <charset val="134"/>
      </rPr>
      <t>半肝切除费</t>
    </r>
    <r>
      <rPr>
        <sz val="12"/>
        <rFont val="Times New Roman"/>
        <charset val="0"/>
      </rPr>
      <t>-</t>
    </r>
    <r>
      <rPr>
        <sz val="12"/>
        <rFont val="宋体"/>
        <charset val="134"/>
      </rPr>
      <t>肝三叶切除（加收）</t>
    </r>
  </si>
  <si>
    <t>013310000890021</t>
  </si>
  <si>
    <r>
      <rPr>
        <sz val="12"/>
        <rFont val="宋体"/>
        <charset val="134"/>
      </rPr>
      <t>半肝切除费</t>
    </r>
    <r>
      <rPr>
        <sz val="12"/>
        <rFont val="Times New Roman"/>
        <charset val="0"/>
      </rPr>
      <t>-</t>
    </r>
    <r>
      <rPr>
        <sz val="12"/>
        <rFont val="宋体"/>
        <charset val="134"/>
      </rPr>
      <t>临近动</t>
    </r>
    <r>
      <rPr>
        <sz val="12"/>
        <rFont val="Times New Roman"/>
        <charset val="0"/>
      </rPr>
      <t>/</t>
    </r>
    <r>
      <rPr>
        <sz val="12"/>
        <rFont val="宋体"/>
        <charset val="134"/>
      </rPr>
      <t>静脉系统修补或重建（加收）</t>
    </r>
  </si>
  <si>
    <t>013310000900000</t>
  </si>
  <si>
    <t>肝段解剖性切除费</t>
  </si>
  <si>
    <t>通过手术将部分肝段组织行解剖性切除。</t>
  </si>
  <si>
    <r>
      <rPr>
        <sz val="12"/>
        <rFont val="Times New Roman"/>
        <charset val="0"/>
      </rPr>
      <t>1.</t>
    </r>
    <r>
      <rPr>
        <sz val="12"/>
        <rFont val="宋体"/>
        <charset val="134"/>
      </rPr>
      <t>本项目中的</t>
    </r>
    <r>
      <rPr>
        <sz val="12"/>
        <rFont val="Times New Roman"/>
        <charset val="0"/>
      </rPr>
      <t>“</t>
    </r>
    <r>
      <rPr>
        <sz val="12"/>
        <rFont val="宋体"/>
        <charset val="134"/>
      </rPr>
      <t>肝段解剖性切除</t>
    </r>
    <r>
      <rPr>
        <sz val="12"/>
        <rFont val="Times New Roman"/>
        <charset val="0"/>
      </rPr>
      <t>”</t>
    </r>
    <r>
      <rPr>
        <sz val="12"/>
        <rFont val="宋体"/>
        <charset val="134"/>
      </rPr>
      <t>指：根据临床解剖</t>
    </r>
    <r>
      <rPr>
        <sz val="12"/>
        <rFont val="Times New Roman"/>
        <charset val="0"/>
      </rPr>
      <t>Couinaud</t>
    </r>
    <r>
      <rPr>
        <sz val="12"/>
        <rFont val="宋体"/>
        <charset val="134"/>
      </rPr>
      <t>分段，完整切除肝段。</t>
    </r>
    <r>
      <rPr>
        <sz val="12"/>
        <rFont val="Times New Roman"/>
        <charset val="0"/>
      </rPr>
      <t xml:space="preserve">
2.</t>
    </r>
    <r>
      <rPr>
        <sz val="12"/>
        <rFont val="宋体"/>
        <charset val="134"/>
      </rPr>
      <t>不与半肝切除费同时收取。</t>
    </r>
  </si>
  <si>
    <t>013310000900001</t>
  </si>
  <si>
    <r>
      <rPr>
        <sz val="12"/>
        <rFont val="宋体"/>
        <charset val="134"/>
      </rPr>
      <t>肝段解剖性切除费</t>
    </r>
    <r>
      <rPr>
        <sz val="12"/>
        <rFont val="Times New Roman"/>
        <charset val="0"/>
      </rPr>
      <t>-</t>
    </r>
    <r>
      <rPr>
        <sz val="12"/>
        <rFont val="宋体"/>
        <charset val="134"/>
      </rPr>
      <t>儿童（加收）</t>
    </r>
  </si>
  <si>
    <t>013310000900011</t>
  </si>
  <si>
    <r>
      <rPr>
        <sz val="12"/>
        <rFont val="宋体"/>
        <charset val="134"/>
      </rPr>
      <t>肝段解剖性切除费</t>
    </r>
    <r>
      <rPr>
        <sz val="12"/>
        <rFont val="Times New Roman"/>
        <charset val="0"/>
      </rPr>
      <t>-</t>
    </r>
    <r>
      <rPr>
        <sz val="12"/>
        <rFont val="宋体"/>
        <charset val="134"/>
      </rPr>
      <t>多肝段切除（加收）</t>
    </r>
  </si>
  <si>
    <t>同一台手术最多收费一次。</t>
  </si>
  <si>
    <t>013310000900021</t>
  </si>
  <si>
    <r>
      <rPr>
        <sz val="12"/>
        <rFont val="宋体"/>
        <charset val="134"/>
      </rPr>
      <t>肝段解剖性切除费</t>
    </r>
    <r>
      <rPr>
        <sz val="12"/>
        <rFont val="Times New Roman"/>
        <charset val="0"/>
      </rPr>
      <t>-</t>
    </r>
    <r>
      <rPr>
        <sz val="12"/>
        <rFont val="宋体"/>
        <charset val="134"/>
      </rPr>
      <t>临近动</t>
    </r>
    <r>
      <rPr>
        <sz val="12"/>
        <rFont val="Times New Roman"/>
        <charset val="0"/>
      </rPr>
      <t>/</t>
    </r>
    <r>
      <rPr>
        <sz val="12"/>
        <rFont val="宋体"/>
        <charset val="134"/>
      </rPr>
      <t>静脉系统修补或重建（加收）</t>
    </r>
  </si>
  <si>
    <t>013310000910000</t>
  </si>
  <si>
    <t>肝脏病损预切除费（一期）</t>
  </si>
  <si>
    <t>通过手术实现肝动脉的病变侧肝实质离断及门脉分支结扎或离断。</t>
  </si>
  <si>
    <t>所定价格涵盖手术计划、术区准备、消毒、切开、探查、分离、结扎或离断、切除、修补、冲洗、止血、引流、缝合、处理用物等步骤所需的人力资源和基本物质资源消耗。</t>
  </si>
  <si>
    <r>
      <rPr>
        <sz val="12"/>
        <rFont val="宋体"/>
        <charset val="134"/>
      </rPr>
      <t>本项目中的</t>
    </r>
    <r>
      <rPr>
        <sz val="12"/>
        <rFont val="Times New Roman"/>
        <charset val="0"/>
      </rPr>
      <t>“</t>
    </r>
    <r>
      <rPr>
        <sz val="12"/>
        <rFont val="宋体"/>
        <charset val="134"/>
      </rPr>
      <t>一期</t>
    </r>
    <r>
      <rPr>
        <sz val="12"/>
        <rFont val="Times New Roman"/>
        <charset val="0"/>
      </rPr>
      <t>”</t>
    </r>
    <r>
      <rPr>
        <sz val="12"/>
        <rFont val="宋体"/>
        <charset val="134"/>
      </rPr>
      <t>指：联合肝脏离断和门静脉结扎的一期手术。</t>
    </r>
  </si>
  <si>
    <t>013310000910001</t>
  </si>
  <si>
    <r>
      <rPr>
        <sz val="12"/>
        <rFont val="宋体"/>
        <charset val="134"/>
      </rPr>
      <t>肝脏病损预切除费（一期）</t>
    </r>
    <r>
      <rPr>
        <sz val="12"/>
        <rFont val="Times New Roman"/>
        <charset val="0"/>
      </rPr>
      <t>-</t>
    </r>
    <r>
      <rPr>
        <sz val="12"/>
        <rFont val="宋体"/>
        <charset val="134"/>
      </rPr>
      <t>儿童（加收）</t>
    </r>
  </si>
  <si>
    <t>013310000920000</t>
  </si>
  <si>
    <t>肝脏修补费</t>
  </si>
  <si>
    <t>通过手术修补损伤的肝脏。</t>
  </si>
  <si>
    <t>所定价格涵盖手术计划、术区准备、消毒、切开、探查、分离、修补、止血、缝合、处理用物等步骤所需的人力资源和基本物质资源消耗。</t>
  </si>
  <si>
    <t>013310000920001</t>
  </si>
  <si>
    <r>
      <rPr>
        <sz val="12"/>
        <rFont val="宋体"/>
        <charset val="134"/>
      </rPr>
      <t>肝脏修补费</t>
    </r>
    <r>
      <rPr>
        <sz val="12"/>
        <rFont val="Times New Roman"/>
        <charset val="0"/>
      </rPr>
      <t>-</t>
    </r>
    <r>
      <rPr>
        <sz val="12"/>
        <rFont val="宋体"/>
        <charset val="134"/>
      </rPr>
      <t>儿童（加收）</t>
    </r>
  </si>
  <si>
    <t>013310000920011</t>
  </si>
  <si>
    <r>
      <rPr>
        <sz val="12"/>
        <rFont val="宋体"/>
        <charset val="134"/>
      </rPr>
      <t>肝脏修补费</t>
    </r>
    <r>
      <rPr>
        <sz val="12"/>
        <rFont val="Times New Roman"/>
        <charset val="0"/>
      </rPr>
      <t>-</t>
    </r>
    <r>
      <rPr>
        <sz val="12"/>
        <rFont val="宋体"/>
        <charset val="134"/>
      </rPr>
      <t>多部位修补（加收）</t>
    </r>
  </si>
  <si>
    <t>013310000930000</t>
  </si>
  <si>
    <t>肝内异物取出费</t>
  </si>
  <si>
    <t>通过手术取出肝内异物。</t>
  </si>
  <si>
    <t>所定价格涵盖手术计划、术区准备、消毒、切开、探查、分离、异物取出、冲洗、止血、引流、缝合、处理用物等步骤所需的人力资源和基本物质资源消耗。</t>
  </si>
  <si>
    <t>013310000930001</t>
  </si>
  <si>
    <r>
      <rPr>
        <sz val="12"/>
        <rFont val="宋体"/>
        <charset val="134"/>
      </rPr>
      <t>肝内异物取出费</t>
    </r>
    <r>
      <rPr>
        <sz val="12"/>
        <rFont val="Times New Roman"/>
        <charset val="0"/>
      </rPr>
      <t>-</t>
    </r>
    <r>
      <rPr>
        <sz val="12"/>
        <rFont val="宋体"/>
        <charset val="134"/>
      </rPr>
      <t>儿童（加收）</t>
    </r>
  </si>
  <si>
    <t>013310000940000</t>
  </si>
  <si>
    <t>胆囊切除费</t>
  </si>
  <si>
    <t>通过手术切除胆囊。</t>
  </si>
  <si>
    <t>013310000940001</t>
  </si>
  <si>
    <r>
      <rPr>
        <sz val="12"/>
        <rFont val="宋体"/>
        <charset val="134"/>
      </rPr>
      <t>胆囊切除费</t>
    </r>
    <r>
      <rPr>
        <sz val="12"/>
        <rFont val="Times New Roman"/>
        <charset val="0"/>
      </rPr>
      <t>-</t>
    </r>
    <r>
      <rPr>
        <sz val="12"/>
        <rFont val="宋体"/>
        <charset val="134"/>
      </rPr>
      <t>儿童（加收）</t>
    </r>
  </si>
  <si>
    <t>013310000940011</t>
  </si>
  <si>
    <r>
      <rPr>
        <sz val="12"/>
        <rFont val="宋体"/>
        <charset val="134"/>
      </rPr>
      <t>胆囊切除费</t>
    </r>
    <r>
      <rPr>
        <sz val="12"/>
        <rFont val="Times New Roman"/>
        <charset val="0"/>
      </rPr>
      <t>-</t>
    </r>
    <r>
      <rPr>
        <sz val="12"/>
        <rFont val="宋体"/>
        <charset val="134"/>
      </rPr>
      <t>穿孔</t>
    </r>
    <r>
      <rPr>
        <sz val="12"/>
        <rFont val="Times New Roman"/>
        <charset val="0"/>
      </rPr>
      <t>/</t>
    </r>
    <r>
      <rPr>
        <sz val="12"/>
        <rFont val="宋体"/>
        <charset val="134"/>
      </rPr>
      <t>坏疽胆囊（加收）</t>
    </r>
  </si>
  <si>
    <t>013310000940012</t>
  </si>
  <si>
    <r>
      <rPr>
        <sz val="12"/>
        <rFont val="宋体"/>
        <charset val="134"/>
      </rPr>
      <t>胆囊切除费</t>
    </r>
    <r>
      <rPr>
        <sz val="12"/>
        <rFont val="Times New Roman"/>
        <charset val="0"/>
      </rPr>
      <t>-Mirizzi</t>
    </r>
    <r>
      <rPr>
        <sz val="12"/>
        <rFont val="宋体"/>
        <charset val="134"/>
      </rPr>
      <t>综合征（加收）</t>
    </r>
  </si>
  <si>
    <t>013310000950000</t>
  </si>
  <si>
    <t>胆囊根治性切除费</t>
  </si>
  <si>
    <t>通过手术切除胆囊和部分肝组织</t>
  </si>
  <si>
    <t>013310000950001</t>
  </si>
  <si>
    <r>
      <rPr>
        <sz val="12"/>
        <rFont val="宋体"/>
        <charset val="134"/>
      </rPr>
      <t>胆囊根治性切除费</t>
    </r>
    <r>
      <rPr>
        <sz val="12"/>
        <rFont val="Times New Roman"/>
        <charset val="0"/>
      </rPr>
      <t>-</t>
    </r>
    <r>
      <rPr>
        <sz val="12"/>
        <rFont val="宋体"/>
        <charset val="134"/>
      </rPr>
      <t>儿童（加收）</t>
    </r>
  </si>
  <si>
    <t>013310000950011</t>
  </si>
  <si>
    <r>
      <rPr>
        <sz val="12"/>
        <rFont val="宋体"/>
        <charset val="134"/>
      </rPr>
      <t>胆囊根治性切除费</t>
    </r>
    <r>
      <rPr>
        <sz val="12"/>
        <rFont val="Times New Roman"/>
        <charset val="0"/>
      </rPr>
      <t>-</t>
    </r>
    <r>
      <rPr>
        <sz val="12"/>
        <rFont val="宋体"/>
        <charset val="134"/>
      </rPr>
      <t>恶性肿瘤扩大根治性切除（加收）</t>
    </r>
  </si>
  <si>
    <t>013310000960000</t>
  </si>
  <si>
    <t>胆管切除费</t>
  </si>
  <si>
    <t>通过手术切除病变胆管。</t>
  </si>
  <si>
    <r>
      <rPr>
        <sz val="12"/>
        <rFont val="宋体"/>
        <charset val="134"/>
      </rPr>
      <t>胆管切除行空肠吻合按</t>
    </r>
    <r>
      <rPr>
        <sz val="12"/>
        <rFont val="Times New Roman"/>
        <charset val="0"/>
      </rPr>
      <t>“</t>
    </r>
    <r>
      <rPr>
        <sz val="12"/>
        <rFont val="宋体"/>
        <charset val="134"/>
      </rPr>
      <t>消化道转流（复杂）</t>
    </r>
    <r>
      <rPr>
        <sz val="12"/>
        <rFont val="Times New Roman"/>
        <charset val="0"/>
      </rPr>
      <t>”</t>
    </r>
    <r>
      <rPr>
        <sz val="12"/>
        <rFont val="宋体"/>
        <charset val="134"/>
      </rPr>
      <t>收费。</t>
    </r>
  </si>
  <si>
    <t>013310000960001</t>
  </si>
  <si>
    <r>
      <rPr>
        <sz val="12"/>
        <rFont val="宋体"/>
        <charset val="134"/>
      </rPr>
      <t>胆管切除费</t>
    </r>
    <r>
      <rPr>
        <sz val="12"/>
        <rFont val="Times New Roman"/>
        <charset val="0"/>
      </rPr>
      <t>-</t>
    </r>
    <r>
      <rPr>
        <sz val="12"/>
        <rFont val="宋体"/>
        <charset val="134"/>
      </rPr>
      <t>儿童（加收）</t>
    </r>
  </si>
  <si>
    <t>013310000960011</t>
  </si>
  <si>
    <r>
      <rPr>
        <sz val="12"/>
        <rFont val="宋体"/>
        <charset val="134"/>
      </rPr>
      <t>胆管切除费</t>
    </r>
    <r>
      <rPr>
        <sz val="12"/>
        <rFont val="Times New Roman"/>
        <charset val="0"/>
      </rPr>
      <t>-</t>
    </r>
    <r>
      <rPr>
        <sz val="12"/>
        <rFont val="宋体"/>
        <charset val="134"/>
      </rPr>
      <t>临近动</t>
    </r>
    <r>
      <rPr>
        <sz val="12"/>
        <rFont val="Times New Roman"/>
        <charset val="0"/>
      </rPr>
      <t>/</t>
    </r>
    <r>
      <rPr>
        <sz val="12"/>
        <rFont val="宋体"/>
        <charset val="134"/>
      </rPr>
      <t>静脉系统修补或重建（加收）</t>
    </r>
  </si>
  <si>
    <t>013310000970000</t>
  </si>
  <si>
    <r>
      <rPr>
        <sz val="12"/>
        <rFont val="宋体"/>
        <charset val="134"/>
      </rPr>
      <t>胆囊造瘘</t>
    </r>
    <r>
      <rPr>
        <sz val="12"/>
        <rFont val="Times New Roman"/>
        <charset val="0"/>
      </rPr>
      <t>/</t>
    </r>
    <r>
      <rPr>
        <sz val="12"/>
        <rFont val="宋体"/>
        <charset val="134"/>
      </rPr>
      <t>口费</t>
    </r>
  </si>
  <si>
    <r>
      <rPr>
        <sz val="12"/>
        <rFont val="宋体"/>
        <charset val="134"/>
      </rPr>
      <t>通过手术形成胆囊造瘘</t>
    </r>
    <r>
      <rPr>
        <sz val="12"/>
        <rFont val="Times New Roman"/>
        <charset val="0"/>
      </rPr>
      <t>/</t>
    </r>
    <r>
      <rPr>
        <sz val="12"/>
        <rFont val="宋体"/>
        <charset val="134"/>
      </rPr>
      <t>口。</t>
    </r>
  </si>
  <si>
    <t>所定价格涵盖手术计划、术区准备、消毒、切开、探查、分离、置管、固定、止血、缝合、处理用物等步骤所需的人力资源和基本物质资源消耗。</t>
  </si>
  <si>
    <t>013310000970001</t>
  </si>
  <si>
    <r>
      <rPr>
        <sz val="12"/>
        <rFont val="宋体"/>
        <charset val="134"/>
      </rPr>
      <t>胆囊造瘘</t>
    </r>
    <r>
      <rPr>
        <sz val="12"/>
        <rFont val="Times New Roman"/>
        <charset val="0"/>
      </rPr>
      <t>/</t>
    </r>
    <r>
      <rPr>
        <sz val="12"/>
        <rFont val="宋体"/>
        <charset val="134"/>
      </rPr>
      <t>口费</t>
    </r>
    <r>
      <rPr>
        <sz val="12"/>
        <rFont val="Times New Roman"/>
        <charset val="0"/>
      </rPr>
      <t>-</t>
    </r>
    <r>
      <rPr>
        <sz val="12"/>
        <rFont val="宋体"/>
        <charset val="134"/>
      </rPr>
      <t>儿童（加收）</t>
    </r>
  </si>
  <si>
    <t>013310000980000</t>
  </si>
  <si>
    <t>胆管引流费</t>
  </si>
  <si>
    <t>通过手术行胆管引流。</t>
  </si>
  <si>
    <r>
      <rPr>
        <sz val="12"/>
        <rFont val="宋体"/>
        <charset val="134"/>
      </rPr>
      <t>所定价格涵盖手术计划、术区准备、消毒、切开、分离、探查、置管</t>
    </r>
    <r>
      <rPr>
        <sz val="12"/>
        <rFont val="Times New Roman"/>
        <charset val="0"/>
      </rPr>
      <t>/</t>
    </r>
    <r>
      <rPr>
        <sz val="12"/>
        <rFont val="宋体"/>
        <charset val="134"/>
      </rPr>
      <t>支架、固定、引流、止血、缝合、处理用物等步骤所需的人力资源和基本物质资源消耗。</t>
    </r>
  </si>
  <si>
    <r>
      <rPr>
        <sz val="12"/>
        <rFont val="宋体"/>
        <charset val="134"/>
      </rPr>
      <t>不与</t>
    </r>
    <r>
      <rPr>
        <sz val="12"/>
        <rFont val="Times New Roman"/>
        <charset val="0"/>
      </rPr>
      <t>“</t>
    </r>
    <r>
      <rPr>
        <sz val="12"/>
        <rFont val="宋体"/>
        <charset val="134"/>
      </rPr>
      <t>胆管切开取石费</t>
    </r>
    <r>
      <rPr>
        <sz val="12"/>
        <rFont val="Times New Roman"/>
        <charset val="0"/>
      </rPr>
      <t>”</t>
    </r>
    <r>
      <rPr>
        <sz val="12"/>
        <rFont val="宋体"/>
        <charset val="134"/>
      </rPr>
      <t>同时收取。</t>
    </r>
  </si>
  <si>
    <t>013310000980001</t>
  </si>
  <si>
    <r>
      <rPr>
        <sz val="12"/>
        <rFont val="宋体"/>
        <charset val="134"/>
      </rPr>
      <t>胆管引流费</t>
    </r>
    <r>
      <rPr>
        <sz val="12"/>
        <rFont val="Times New Roman"/>
        <charset val="0"/>
      </rPr>
      <t>-</t>
    </r>
    <r>
      <rPr>
        <sz val="12"/>
        <rFont val="宋体"/>
        <charset val="134"/>
      </rPr>
      <t>儿童（加收）</t>
    </r>
  </si>
  <si>
    <t>013310000990000</t>
  </si>
  <si>
    <t>胆管内置入物取出费</t>
  </si>
  <si>
    <t>通过手术取出胆管内支架等置入物。</t>
  </si>
  <si>
    <t>所定价格涵盖手术计划、术区准备、消毒、切开、探查、分离、取出、冲洗、止血、引流、缝合、处理用物等步骤所需的人力资源和基本物质资源消耗。</t>
  </si>
  <si>
    <t>013310000990001</t>
  </si>
  <si>
    <r>
      <rPr>
        <sz val="12"/>
        <rFont val="宋体"/>
        <charset val="134"/>
      </rPr>
      <t>胆管内置入物取出费</t>
    </r>
    <r>
      <rPr>
        <sz val="12"/>
        <rFont val="Times New Roman"/>
        <charset val="0"/>
      </rPr>
      <t>-</t>
    </r>
    <r>
      <rPr>
        <sz val="12"/>
        <rFont val="宋体"/>
        <charset val="134"/>
      </rPr>
      <t>儿童（加收）</t>
    </r>
  </si>
  <si>
    <t>013310001000000</t>
  </si>
  <si>
    <t>胆囊切开取石费</t>
  </si>
  <si>
    <t>通过手术切开取出胆囊结石。</t>
  </si>
  <si>
    <t>所定价格涵盖手术计划、术区准备、消毒、切开、探查、分离、取石、修补、冲洗、止血、引流、缝合、处理用物等步骤所需的人力资源和基本物质资源消耗。</t>
  </si>
  <si>
    <t>013310001000001</t>
  </si>
  <si>
    <r>
      <rPr>
        <sz val="12"/>
        <rFont val="宋体"/>
        <charset val="134"/>
      </rPr>
      <t>胆囊切开取石费</t>
    </r>
    <r>
      <rPr>
        <sz val="12"/>
        <rFont val="Times New Roman"/>
        <charset val="0"/>
      </rPr>
      <t>-</t>
    </r>
    <r>
      <rPr>
        <sz val="12"/>
        <rFont val="宋体"/>
        <charset val="134"/>
      </rPr>
      <t>儿童（加收）</t>
    </r>
  </si>
  <si>
    <t>013310001010000</t>
  </si>
  <si>
    <t>胆管切开取石费</t>
  </si>
  <si>
    <t>通过手术切开取出胆管结石。</t>
  </si>
  <si>
    <r>
      <rPr>
        <sz val="12"/>
        <rFont val="宋体"/>
        <charset val="134"/>
      </rPr>
      <t>所定价格涵盖手术计划、术区准备、消毒、切开、探查、分离、取石、修补、冲洗、止血、引流、缝合、处理用物，必要时</t>
    </r>
    <r>
      <rPr>
        <sz val="12"/>
        <rFont val="Times New Roman"/>
        <charset val="0"/>
      </rPr>
      <t>T</t>
    </r>
    <r>
      <rPr>
        <sz val="12"/>
        <rFont val="宋体"/>
        <charset val="134"/>
      </rPr>
      <t>管引流等步骤所需的人力资源和基本物质资源消耗。</t>
    </r>
  </si>
  <si>
    <r>
      <rPr>
        <sz val="12"/>
        <rFont val="宋体"/>
        <charset val="134"/>
      </rPr>
      <t>不与</t>
    </r>
    <r>
      <rPr>
        <sz val="12"/>
        <rFont val="Times New Roman"/>
        <charset val="0"/>
      </rPr>
      <t>“</t>
    </r>
    <r>
      <rPr>
        <sz val="12"/>
        <rFont val="宋体"/>
        <charset val="134"/>
      </rPr>
      <t>胆管引流费</t>
    </r>
    <r>
      <rPr>
        <sz val="12"/>
        <rFont val="Times New Roman"/>
        <charset val="0"/>
      </rPr>
      <t>”</t>
    </r>
    <r>
      <rPr>
        <sz val="12"/>
        <rFont val="宋体"/>
        <charset val="134"/>
      </rPr>
      <t>同时收取。</t>
    </r>
  </si>
  <si>
    <t>013310001010001</t>
  </si>
  <si>
    <r>
      <rPr>
        <sz val="12"/>
        <rFont val="宋体"/>
        <charset val="134"/>
      </rPr>
      <t>胆管切开取石费</t>
    </r>
    <r>
      <rPr>
        <sz val="12"/>
        <rFont val="Times New Roman"/>
        <charset val="0"/>
      </rPr>
      <t>-</t>
    </r>
    <r>
      <rPr>
        <sz val="12"/>
        <rFont val="宋体"/>
        <charset val="134"/>
      </rPr>
      <t>儿童（加收）</t>
    </r>
  </si>
  <si>
    <t>013310001020000</t>
  </si>
  <si>
    <t>胆管修补费</t>
  </si>
  <si>
    <t>通过手术修补损伤的胆管。</t>
  </si>
  <si>
    <r>
      <rPr>
        <sz val="12"/>
        <rFont val="宋体"/>
        <charset val="134"/>
      </rPr>
      <t>不与</t>
    </r>
    <r>
      <rPr>
        <sz val="12"/>
        <rFont val="Times New Roman"/>
        <charset val="0"/>
      </rPr>
      <t>“</t>
    </r>
    <r>
      <rPr>
        <sz val="12"/>
        <rFont val="宋体"/>
        <charset val="134"/>
      </rPr>
      <t>胆管修补成形费</t>
    </r>
    <r>
      <rPr>
        <sz val="12"/>
        <rFont val="Times New Roman"/>
        <charset val="0"/>
      </rPr>
      <t>”</t>
    </r>
    <r>
      <rPr>
        <sz val="12"/>
        <rFont val="宋体"/>
        <charset val="0"/>
      </rPr>
      <t>同时收取。</t>
    </r>
  </si>
  <si>
    <t>013310001020001</t>
  </si>
  <si>
    <r>
      <rPr>
        <sz val="12"/>
        <rFont val="宋体"/>
        <charset val="134"/>
      </rPr>
      <t>胆管修补费</t>
    </r>
    <r>
      <rPr>
        <sz val="12"/>
        <rFont val="Times New Roman"/>
        <charset val="0"/>
      </rPr>
      <t>-</t>
    </r>
    <r>
      <rPr>
        <sz val="12"/>
        <rFont val="宋体"/>
        <charset val="134"/>
      </rPr>
      <t>儿童（加收）</t>
    </r>
  </si>
  <si>
    <t>013310001030000</t>
  </si>
  <si>
    <t>胆管修补成形费</t>
  </si>
  <si>
    <t>通过手术修补胆管缺损、闭锁等，恢复胆管连续性。</t>
  </si>
  <si>
    <t>所定价格涵盖手术计划、术区准备、消毒、切开、探查、分离、修复、冲洗、止血、缝合、处理用物，必要时扩大肝门等步骤所需的人力资源和基本物质资源消耗。</t>
  </si>
  <si>
    <r>
      <rPr>
        <sz val="12"/>
        <rFont val="宋体"/>
        <charset val="134"/>
      </rPr>
      <t>不与</t>
    </r>
    <r>
      <rPr>
        <sz val="12"/>
        <rFont val="Times New Roman"/>
        <charset val="0"/>
      </rPr>
      <t>“</t>
    </r>
    <r>
      <rPr>
        <sz val="12"/>
        <rFont val="宋体"/>
        <charset val="134"/>
      </rPr>
      <t>胆管修补费</t>
    </r>
    <r>
      <rPr>
        <sz val="12"/>
        <rFont val="Times New Roman"/>
        <charset val="0"/>
      </rPr>
      <t>”</t>
    </r>
    <r>
      <rPr>
        <sz val="12"/>
        <rFont val="宋体"/>
        <charset val="134"/>
      </rPr>
      <t>同时收取。</t>
    </r>
  </si>
  <si>
    <t>013310001030001</t>
  </si>
  <si>
    <r>
      <rPr>
        <sz val="12"/>
        <rFont val="宋体"/>
        <charset val="134"/>
      </rPr>
      <t>胆管修补成形费</t>
    </r>
    <r>
      <rPr>
        <sz val="12"/>
        <rFont val="Times New Roman"/>
        <charset val="0"/>
      </rPr>
      <t>-</t>
    </r>
    <r>
      <rPr>
        <sz val="12"/>
        <rFont val="宋体"/>
        <charset val="134"/>
      </rPr>
      <t>儿童（加收）</t>
    </r>
  </si>
  <si>
    <t>013310001040000</t>
  </si>
  <si>
    <t>胰十二指肠切除费</t>
  </si>
  <si>
    <t>通过手术治疗壶腹周围组织病变。</t>
  </si>
  <si>
    <t>013310001040001</t>
  </si>
  <si>
    <r>
      <rPr>
        <sz val="12"/>
        <rFont val="宋体"/>
        <charset val="134"/>
      </rPr>
      <t>胰十二指肠切除费</t>
    </r>
    <r>
      <rPr>
        <sz val="12"/>
        <rFont val="Times New Roman"/>
        <charset val="0"/>
      </rPr>
      <t>-</t>
    </r>
    <r>
      <rPr>
        <sz val="12"/>
        <rFont val="宋体"/>
        <charset val="134"/>
      </rPr>
      <t>儿童（加收）</t>
    </r>
  </si>
  <si>
    <t>013310001040011</t>
  </si>
  <si>
    <r>
      <rPr>
        <sz val="12"/>
        <rFont val="宋体"/>
        <charset val="134"/>
      </rPr>
      <t>胰十二指肠切除费</t>
    </r>
    <r>
      <rPr>
        <sz val="12"/>
        <rFont val="Times New Roman"/>
        <charset val="0"/>
      </rPr>
      <t>-</t>
    </r>
    <r>
      <rPr>
        <sz val="12"/>
        <rFont val="宋体"/>
        <charset val="134"/>
      </rPr>
      <t>临近动</t>
    </r>
    <r>
      <rPr>
        <sz val="12"/>
        <rFont val="Times New Roman"/>
        <charset val="0"/>
      </rPr>
      <t>/</t>
    </r>
    <r>
      <rPr>
        <sz val="12"/>
        <rFont val="宋体"/>
        <charset val="134"/>
      </rPr>
      <t>静脉系统修补或重建（加收）</t>
    </r>
  </si>
  <si>
    <t>013310001050000</t>
  </si>
  <si>
    <t>胰头切除费（保十二指肠）</t>
  </si>
  <si>
    <t>通过手术治疗壶腹周围组织病变。（保留十二指肠）</t>
  </si>
  <si>
    <t>013310001050001</t>
  </si>
  <si>
    <r>
      <rPr>
        <sz val="12"/>
        <rFont val="宋体"/>
        <charset val="134"/>
      </rPr>
      <t>胰头切除费（保十二指肠）</t>
    </r>
    <r>
      <rPr>
        <sz val="12"/>
        <rFont val="Times New Roman"/>
        <charset val="0"/>
      </rPr>
      <t>-</t>
    </r>
    <r>
      <rPr>
        <sz val="12"/>
        <rFont val="宋体"/>
        <charset val="134"/>
      </rPr>
      <t>儿童（加收）</t>
    </r>
  </si>
  <si>
    <t>013310001060000</t>
  </si>
  <si>
    <t>胰体尾脾切除费</t>
  </si>
  <si>
    <t>通过手术切除胰腺体尾部病变及脾脏。</t>
  </si>
  <si>
    <t>013310001060001</t>
  </si>
  <si>
    <r>
      <rPr>
        <sz val="12"/>
        <rFont val="宋体"/>
        <charset val="134"/>
      </rPr>
      <t>胰体尾脾切除费</t>
    </r>
    <r>
      <rPr>
        <sz val="12"/>
        <rFont val="Times New Roman"/>
        <charset val="0"/>
      </rPr>
      <t xml:space="preserve">-
</t>
    </r>
    <r>
      <rPr>
        <sz val="12"/>
        <rFont val="宋体"/>
        <charset val="134"/>
      </rPr>
      <t>儿童（加收）</t>
    </r>
  </si>
  <si>
    <t>013310001060011</t>
  </si>
  <si>
    <r>
      <rPr>
        <sz val="12"/>
        <rFont val="宋体"/>
        <charset val="134"/>
      </rPr>
      <t>胰体尾脾切除费</t>
    </r>
    <r>
      <rPr>
        <sz val="12"/>
        <rFont val="Times New Roman"/>
        <charset val="0"/>
      </rPr>
      <t>-</t>
    </r>
    <r>
      <rPr>
        <sz val="12"/>
        <rFont val="宋体"/>
        <charset val="134"/>
      </rPr>
      <t>恶性肿瘤扩大根治性切除（加收）</t>
    </r>
  </si>
  <si>
    <t>013310001070000</t>
  </si>
  <si>
    <r>
      <rPr>
        <sz val="12"/>
        <rFont val="宋体"/>
        <charset val="134"/>
      </rPr>
      <t>胰体尾切除费</t>
    </r>
    <r>
      <rPr>
        <sz val="12"/>
        <rFont val="Times New Roman"/>
        <charset val="0"/>
      </rPr>
      <t xml:space="preserve">
</t>
    </r>
    <r>
      <rPr>
        <sz val="12"/>
        <rFont val="宋体"/>
        <charset val="134"/>
      </rPr>
      <t>（保脾）</t>
    </r>
  </si>
  <si>
    <t>通过手术切除胰腺体尾部病变。（保留脾脏）</t>
  </si>
  <si>
    <t>013310001070001</t>
  </si>
  <si>
    <r>
      <rPr>
        <sz val="12"/>
        <rFont val="宋体"/>
        <charset val="134"/>
      </rPr>
      <t>胰体尾切除费（保脾）</t>
    </r>
    <r>
      <rPr>
        <sz val="12"/>
        <rFont val="Times New Roman"/>
        <charset val="0"/>
      </rPr>
      <t>-</t>
    </r>
    <r>
      <rPr>
        <sz val="12"/>
        <rFont val="宋体"/>
        <charset val="134"/>
      </rPr>
      <t>儿童（加收）</t>
    </r>
  </si>
  <si>
    <t>013310001070011</t>
  </si>
  <si>
    <r>
      <rPr>
        <sz val="12"/>
        <rFont val="宋体"/>
        <charset val="134"/>
      </rPr>
      <t>胰体尾切除费（保脾）</t>
    </r>
    <r>
      <rPr>
        <sz val="12"/>
        <rFont val="Times New Roman"/>
        <charset val="0"/>
      </rPr>
      <t>-</t>
    </r>
    <r>
      <rPr>
        <sz val="12"/>
        <rFont val="宋体"/>
        <charset val="134"/>
      </rPr>
      <t>保留脾血管（加收）</t>
    </r>
  </si>
  <si>
    <t>013310001080000</t>
  </si>
  <si>
    <t>胰腺病变切除费</t>
  </si>
  <si>
    <t>通过手术切除胰腺病变。</t>
  </si>
  <si>
    <t>013310001080001</t>
  </si>
  <si>
    <r>
      <rPr>
        <sz val="12"/>
        <rFont val="宋体"/>
        <charset val="134"/>
      </rPr>
      <t>胰腺病变切除费</t>
    </r>
    <r>
      <rPr>
        <sz val="12"/>
        <rFont val="Times New Roman"/>
        <charset val="0"/>
      </rPr>
      <t xml:space="preserve">-
</t>
    </r>
    <r>
      <rPr>
        <sz val="12"/>
        <rFont val="宋体"/>
        <charset val="134"/>
      </rPr>
      <t>儿童（加收）</t>
    </r>
  </si>
  <si>
    <t>013310001090000</t>
  </si>
  <si>
    <t>胰腺节段切除费</t>
  </si>
  <si>
    <t>通过手术切除胰腺节段。</t>
  </si>
  <si>
    <t>013310001090001</t>
  </si>
  <si>
    <r>
      <rPr>
        <sz val="12"/>
        <rFont val="宋体"/>
        <charset val="134"/>
      </rPr>
      <t>胰腺节段切除费</t>
    </r>
    <r>
      <rPr>
        <sz val="12"/>
        <rFont val="Times New Roman"/>
        <charset val="0"/>
      </rPr>
      <t xml:space="preserve">-
</t>
    </r>
    <r>
      <rPr>
        <sz val="12"/>
        <rFont val="宋体"/>
        <charset val="134"/>
      </rPr>
      <t>儿童（加收）</t>
    </r>
  </si>
  <si>
    <t>013310001100000</t>
  </si>
  <si>
    <t>胰腺全切除费</t>
  </si>
  <si>
    <t>通过手术切除全部胰腺和（或）周围组织。</t>
  </si>
  <si>
    <t>所定价格涵盖手术计划、术区准备、消毒、切开、探查、分离、切除、吻合、止血、缝合、处理用物等步骤所需的人力资源和基本物质资源消耗。</t>
  </si>
  <si>
    <t>013310001100001</t>
  </si>
  <si>
    <r>
      <rPr>
        <sz val="12"/>
        <rFont val="宋体"/>
        <charset val="134"/>
      </rPr>
      <t>胰腺全切除费</t>
    </r>
    <r>
      <rPr>
        <sz val="12"/>
        <rFont val="Times New Roman"/>
        <charset val="0"/>
      </rPr>
      <t>-</t>
    </r>
    <r>
      <rPr>
        <sz val="12"/>
        <rFont val="宋体"/>
        <charset val="134"/>
      </rPr>
      <t>儿童（加收）</t>
    </r>
  </si>
  <si>
    <t>013310001100011</t>
  </si>
  <si>
    <r>
      <rPr>
        <sz val="12"/>
        <rFont val="宋体"/>
        <charset val="134"/>
      </rPr>
      <t>胰腺全切除费</t>
    </r>
    <r>
      <rPr>
        <sz val="12"/>
        <rFont val="Times New Roman"/>
        <charset val="0"/>
      </rPr>
      <t>-</t>
    </r>
    <r>
      <rPr>
        <sz val="12"/>
        <rFont val="宋体"/>
        <charset val="134"/>
      </rPr>
      <t>临近动</t>
    </r>
    <r>
      <rPr>
        <sz val="12"/>
        <rFont val="Times New Roman"/>
        <charset val="0"/>
      </rPr>
      <t>/</t>
    </r>
    <r>
      <rPr>
        <sz val="12"/>
        <rFont val="宋体"/>
        <charset val="134"/>
      </rPr>
      <t>静脉系统修补或重建（加收）</t>
    </r>
  </si>
  <si>
    <t>013310001110000</t>
  </si>
  <si>
    <t>胰腺修补费</t>
  </si>
  <si>
    <t>通过手术修补损伤的胰腺。</t>
  </si>
  <si>
    <t>013310001110001</t>
  </si>
  <si>
    <r>
      <rPr>
        <sz val="12"/>
        <rFont val="宋体"/>
        <charset val="134"/>
      </rPr>
      <t>胰腺修补费</t>
    </r>
    <r>
      <rPr>
        <sz val="12"/>
        <rFont val="Times New Roman"/>
        <charset val="0"/>
      </rPr>
      <t>-</t>
    </r>
    <r>
      <rPr>
        <sz val="12"/>
        <rFont val="宋体"/>
        <charset val="134"/>
      </rPr>
      <t>儿童（加收）</t>
    </r>
  </si>
  <si>
    <t>013310001110011</t>
  </si>
  <si>
    <r>
      <rPr>
        <sz val="12"/>
        <rFont val="宋体"/>
        <charset val="134"/>
      </rPr>
      <t>胰腺修补费</t>
    </r>
    <r>
      <rPr>
        <sz val="12"/>
        <rFont val="Times New Roman"/>
        <charset val="0"/>
      </rPr>
      <t>-</t>
    </r>
    <r>
      <rPr>
        <sz val="12"/>
        <rFont val="宋体"/>
        <charset val="134"/>
      </rPr>
      <t>多部位修补（加收）</t>
    </r>
  </si>
  <si>
    <t>013310001120000</t>
  </si>
  <si>
    <t>坏死性胰腺炎清创引流费</t>
  </si>
  <si>
    <t>通过手术对胰腺周围脓肿或坏死组织进行清创引流。</t>
  </si>
  <si>
    <t>所定价格涵盖手术计划、术区准备、消毒、切开、探查、分离、清理坏死组织、冲洗、止血、引流、缝合、处理用物等步骤所需的人力资源和基本物质资源消耗。</t>
  </si>
  <si>
    <t>013310001120001</t>
  </si>
  <si>
    <r>
      <rPr>
        <sz val="12"/>
        <rFont val="宋体"/>
        <charset val="134"/>
      </rPr>
      <t>坏死性胰腺炎清创引流费</t>
    </r>
    <r>
      <rPr>
        <sz val="12"/>
        <rFont val="Times New Roman"/>
        <charset val="0"/>
      </rPr>
      <t>-</t>
    </r>
    <r>
      <rPr>
        <sz val="12"/>
        <rFont val="宋体"/>
        <charset val="134"/>
      </rPr>
      <t>儿童（加收）</t>
    </r>
  </si>
  <si>
    <t>013310001130000</t>
  </si>
  <si>
    <t>胰管切开取石费</t>
  </si>
  <si>
    <t>通过手术切开取出胰管结石。</t>
  </si>
  <si>
    <t>所定价格涵盖手术计划、术区准备、消毒、切开、探查、分离、取石、冲洗、止血、引流、缝合、处理用物等步骤所需的人力资源和基本物质资源消耗。</t>
  </si>
  <si>
    <t>013310001130001</t>
  </si>
  <si>
    <r>
      <rPr>
        <sz val="12"/>
        <rFont val="宋体"/>
        <charset val="134"/>
      </rPr>
      <t>胰管切开取石费</t>
    </r>
    <r>
      <rPr>
        <sz val="12"/>
        <rFont val="Times New Roman"/>
        <charset val="0"/>
      </rPr>
      <t>-</t>
    </r>
    <r>
      <rPr>
        <sz val="12"/>
        <rFont val="宋体"/>
        <charset val="134"/>
      </rPr>
      <t>儿童（加收）</t>
    </r>
  </si>
  <si>
    <t>013310001140000</t>
  </si>
  <si>
    <t>脾部分切除费</t>
  </si>
  <si>
    <t>通过手术切除部分脾脏。</t>
  </si>
  <si>
    <t>013310001140001</t>
  </si>
  <si>
    <r>
      <rPr>
        <sz val="12"/>
        <rFont val="宋体"/>
        <charset val="134"/>
      </rPr>
      <t>脾部分切除费</t>
    </r>
    <r>
      <rPr>
        <sz val="12"/>
        <rFont val="Times New Roman"/>
        <charset val="0"/>
      </rPr>
      <t>-</t>
    </r>
    <r>
      <rPr>
        <sz val="12"/>
        <rFont val="宋体"/>
        <charset val="134"/>
      </rPr>
      <t>儿童（加收）</t>
    </r>
  </si>
  <si>
    <t>013310001150000</t>
  </si>
  <si>
    <t>脾全切除费</t>
  </si>
  <si>
    <t>通过手术切除全部脾脏。</t>
  </si>
  <si>
    <t>013310001150001</t>
  </si>
  <si>
    <r>
      <rPr>
        <sz val="12"/>
        <rFont val="宋体"/>
        <charset val="134"/>
      </rPr>
      <t>脾全切除费</t>
    </r>
    <r>
      <rPr>
        <sz val="12"/>
        <rFont val="Times New Roman"/>
        <charset val="0"/>
      </rPr>
      <t>-</t>
    </r>
    <r>
      <rPr>
        <sz val="12"/>
        <rFont val="宋体"/>
        <charset val="134"/>
      </rPr>
      <t>儿童（加收）</t>
    </r>
  </si>
  <si>
    <t>013310001150011</t>
  </si>
  <si>
    <r>
      <rPr>
        <sz val="12"/>
        <rFont val="宋体"/>
        <charset val="134"/>
      </rPr>
      <t>脾全切除费</t>
    </r>
    <r>
      <rPr>
        <sz val="12"/>
        <rFont val="Times New Roman"/>
        <charset val="0"/>
      </rPr>
      <t>-III</t>
    </r>
    <r>
      <rPr>
        <sz val="12"/>
        <rFont val="宋体"/>
        <charset val="134"/>
      </rPr>
      <t>度脾肿大（加收）</t>
    </r>
  </si>
  <si>
    <t>013310001150100</t>
  </si>
  <si>
    <r>
      <rPr>
        <sz val="12"/>
        <rFont val="宋体"/>
        <charset val="134"/>
      </rPr>
      <t>脾全切除费</t>
    </r>
    <r>
      <rPr>
        <sz val="12"/>
        <rFont val="Times New Roman"/>
        <charset val="0"/>
      </rPr>
      <t>-</t>
    </r>
    <r>
      <rPr>
        <sz val="12"/>
        <rFont val="宋体"/>
        <charset val="134"/>
      </rPr>
      <t>脾全切自体脾移植（扩展）</t>
    </r>
  </si>
  <si>
    <t>013310001160000</t>
  </si>
  <si>
    <t>脾移植费</t>
  </si>
  <si>
    <t>通过手术移植异体同种脾脏（全脾），实现患者原位脾脏切除和供体脾脏植入。</t>
  </si>
  <si>
    <t>所定价格涵盖手术计划、术区准备、消毒、切开、探查、分离、原位脾脏切除、供体脾脏术前或术中整复、供体脾脏植入，以及切开、吻合、关闭、缝合、处理用物等步骤所需的人力资源和基本物质资源消耗。</t>
  </si>
  <si>
    <r>
      <rPr>
        <sz val="12"/>
        <rFont val="Times New Roman"/>
        <charset val="0"/>
      </rPr>
      <t>1.</t>
    </r>
    <r>
      <rPr>
        <sz val="12"/>
        <rFont val="宋体"/>
        <charset val="134"/>
      </rPr>
      <t>该项目属于《器官移植环节手术价格项目立项指南》增补项目。</t>
    </r>
    <r>
      <rPr>
        <sz val="12"/>
        <rFont val="Times New Roman"/>
        <charset val="0"/>
      </rPr>
      <t xml:space="preserve">
2.</t>
    </r>
    <r>
      <rPr>
        <sz val="12"/>
        <rFont val="宋体"/>
        <charset val="134"/>
      </rPr>
      <t>脾移植不可收取</t>
    </r>
    <r>
      <rPr>
        <sz val="12"/>
        <rFont val="Times New Roman"/>
        <charset val="0"/>
      </rPr>
      <t>“</t>
    </r>
    <r>
      <rPr>
        <sz val="12"/>
        <rFont val="宋体"/>
        <charset val="134"/>
      </rPr>
      <t>脾全切除费</t>
    </r>
    <r>
      <rPr>
        <sz val="12"/>
        <rFont val="Times New Roman"/>
        <charset val="0"/>
      </rPr>
      <t>”</t>
    </r>
    <r>
      <rPr>
        <sz val="12"/>
        <rFont val="宋体"/>
        <charset val="134"/>
      </rPr>
      <t>。</t>
    </r>
  </si>
  <si>
    <t>013310001160001</t>
  </si>
  <si>
    <r>
      <rPr>
        <sz val="12"/>
        <rFont val="宋体"/>
        <charset val="134"/>
      </rPr>
      <t>脾移植费</t>
    </r>
    <r>
      <rPr>
        <sz val="12"/>
        <rFont val="Times New Roman"/>
        <charset val="0"/>
      </rPr>
      <t>-</t>
    </r>
    <r>
      <rPr>
        <sz val="12"/>
        <rFont val="宋体"/>
        <charset val="134"/>
      </rPr>
      <t>儿童</t>
    </r>
    <r>
      <rPr>
        <sz val="12"/>
        <rFont val="Times New Roman"/>
        <charset val="0"/>
      </rPr>
      <t xml:space="preserve">
</t>
    </r>
    <r>
      <rPr>
        <sz val="12"/>
        <rFont val="宋体"/>
        <charset val="134"/>
      </rPr>
      <t>（加收）</t>
    </r>
  </si>
  <si>
    <t>013310001160100</t>
  </si>
  <si>
    <r>
      <rPr>
        <sz val="12"/>
        <rFont val="宋体"/>
        <charset val="134"/>
      </rPr>
      <t>脾移植费</t>
    </r>
    <r>
      <rPr>
        <sz val="12"/>
        <rFont val="Times New Roman"/>
        <charset val="0"/>
      </rPr>
      <t>-</t>
    </r>
    <r>
      <rPr>
        <sz val="12"/>
        <rFont val="宋体"/>
        <charset val="134"/>
      </rPr>
      <t>异种器官（扩展）</t>
    </r>
  </si>
  <si>
    <t>013310001170000</t>
  </si>
  <si>
    <t>供脾切取费</t>
  </si>
  <si>
    <t>通过手术切取活体供者脾脏（器官段）。</t>
  </si>
  <si>
    <t>所定价格涵盖手术计划、术区准备、消毒、探查、分离、供者脾脏切取以及切开、吻合、缝合、处理用物等步骤所需的人力资源和基本物质资源消耗。</t>
  </si>
  <si>
    <r>
      <rPr>
        <sz val="12"/>
        <rFont val="Times New Roman"/>
        <charset val="0"/>
      </rPr>
      <t>1.</t>
    </r>
    <r>
      <rPr>
        <sz val="12"/>
        <rFont val="宋体"/>
        <charset val="134"/>
      </rPr>
      <t>仅限于合法进行的活体器官捐献。</t>
    </r>
    <r>
      <rPr>
        <sz val="12"/>
        <rFont val="Times New Roman"/>
        <charset val="0"/>
      </rPr>
      <t xml:space="preserve">
2.</t>
    </r>
    <r>
      <rPr>
        <sz val="12"/>
        <rFont val="宋体"/>
        <charset val="134"/>
      </rPr>
      <t>该项目属于《器官移植环节手术价格项目立项指南》增补项目。</t>
    </r>
  </si>
  <si>
    <t>013310001170001</t>
  </si>
  <si>
    <r>
      <rPr>
        <sz val="12"/>
        <rFont val="宋体"/>
        <charset val="134"/>
      </rPr>
      <t>供脾切取费</t>
    </r>
    <r>
      <rPr>
        <sz val="12"/>
        <rFont val="Times New Roman"/>
        <charset val="0"/>
      </rPr>
      <t>-</t>
    </r>
    <r>
      <rPr>
        <sz val="12"/>
        <rFont val="宋体"/>
        <charset val="134"/>
      </rPr>
      <t>儿童（加收）</t>
    </r>
  </si>
  <si>
    <t>013310001180000</t>
  </si>
  <si>
    <t>脾脏修补费</t>
  </si>
  <si>
    <t>通过手术修补损伤的脾脏。</t>
  </si>
  <si>
    <t>013310001180001</t>
  </si>
  <si>
    <r>
      <rPr>
        <sz val="12"/>
        <rFont val="宋体"/>
        <charset val="134"/>
      </rPr>
      <t>脾脏修补费</t>
    </r>
    <r>
      <rPr>
        <sz val="12"/>
        <rFont val="Times New Roman"/>
        <charset val="0"/>
      </rPr>
      <t>-</t>
    </r>
    <r>
      <rPr>
        <sz val="12"/>
        <rFont val="宋体"/>
        <charset val="134"/>
      </rPr>
      <t>儿童（加收）</t>
    </r>
  </si>
  <si>
    <t>013310001180011</t>
  </si>
  <si>
    <r>
      <rPr>
        <sz val="12"/>
        <rFont val="宋体"/>
        <charset val="134"/>
      </rPr>
      <t>脾脏修补费</t>
    </r>
    <r>
      <rPr>
        <sz val="12"/>
        <rFont val="Times New Roman"/>
        <charset val="0"/>
      </rPr>
      <t>-</t>
    </r>
    <r>
      <rPr>
        <sz val="12"/>
        <rFont val="宋体"/>
        <charset val="134"/>
      </rPr>
      <t>多部位修补（加收）</t>
    </r>
  </si>
  <si>
    <t>013310001190000</t>
  </si>
  <si>
    <t>脾肺固定分流费</t>
  </si>
  <si>
    <t>通过手术建立脾肺间侧支循环，将门静脉血液引流至肺静脉，降低门静脉压力。</t>
  </si>
  <si>
    <t>所定价格涵盖手术计划、术区准备、消毒、切开、探查、分离、切除、结扎、固定、冲洗、止血、引流、缝合、处理用物等步骤所需的人力资源和基本物质资源消耗。</t>
  </si>
  <si>
    <t>013310001190001</t>
  </si>
  <si>
    <r>
      <rPr>
        <sz val="12"/>
        <rFont val="宋体"/>
        <charset val="134"/>
      </rPr>
      <t>脾肺固定分流费</t>
    </r>
    <r>
      <rPr>
        <sz val="12"/>
        <rFont val="Times New Roman"/>
        <charset val="0"/>
      </rPr>
      <t xml:space="preserve">-
</t>
    </r>
    <r>
      <rPr>
        <sz val="12"/>
        <rFont val="宋体"/>
        <charset val="134"/>
      </rPr>
      <t>儿童（加收）</t>
    </r>
  </si>
  <si>
    <t>013310001200000</t>
  </si>
  <si>
    <r>
      <rPr>
        <sz val="12"/>
        <rFont val="宋体"/>
        <charset val="134"/>
      </rPr>
      <t>淋巴结清扫费</t>
    </r>
    <r>
      <rPr>
        <sz val="12"/>
        <rFont val="Times New Roman"/>
        <charset val="0"/>
      </rPr>
      <t xml:space="preserve">
</t>
    </r>
    <r>
      <rPr>
        <sz val="12"/>
        <rFont val="宋体"/>
        <charset val="134"/>
      </rPr>
      <t>（腋窝）</t>
    </r>
  </si>
  <si>
    <t>通过手术清扫腋窝淋巴结。</t>
  </si>
  <si>
    <t>所定价格涵盖手术计划、术区准备、消毒、切开、探查、分离、切除、处理用物等步骤所需的人力资源和基本物质资源消耗。</t>
  </si>
  <si>
    <t>013310001200001</t>
  </si>
  <si>
    <r>
      <rPr>
        <sz val="12"/>
        <rFont val="宋体"/>
        <charset val="134"/>
      </rPr>
      <t>淋巴结清扫费（腋窝）</t>
    </r>
    <r>
      <rPr>
        <sz val="12"/>
        <rFont val="Times New Roman"/>
        <charset val="0"/>
      </rPr>
      <t>-</t>
    </r>
    <r>
      <rPr>
        <sz val="12"/>
        <rFont val="宋体"/>
        <charset val="134"/>
      </rPr>
      <t>儿童（加收）</t>
    </r>
  </si>
  <si>
    <t>013310001210000</t>
  </si>
  <si>
    <r>
      <rPr>
        <sz val="12"/>
        <rFont val="宋体"/>
        <charset val="134"/>
      </rPr>
      <t>淋巴结清扫费</t>
    </r>
    <r>
      <rPr>
        <sz val="12"/>
        <rFont val="Times New Roman"/>
        <charset val="0"/>
      </rPr>
      <t xml:space="preserve">
</t>
    </r>
    <r>
      <rPr>
        <sz val="12"/>
        <rFont val="宋体"/>
        <charset val="134"/>
      </rPr>
      <t>（腹部）</t>
    </r>
  </si>
  <si>
    <t>通过手术清扫腹部（腹腔及周围区域）淋巴结。</t>
  </si>
  <si>
    <t>013310001210001</t>
  </si>
  <si>
    <r>
      <rPr>
        <sz val="12"/>
        <rFont val="宋体"/>
        <charset val="134"/>
      </rPr>
      <t>淋巴结清扫费（腹部）</t>
    </r>
    <r>
      <rPr>
        <sz val="12"/>
        <rFont val="Times New Roman"/>
        <charset val="0"/>
      </rPr>
      <t>-</t>
    </r>
    <r>
      <rPr>
        <sz val="12"/>
        <rFont val="宋体"/>
        <charset val="134"/>
      </rPr>
      <t>儿童（加收）</t>
    </r>
  </si>
  <si>
    <t>013310001220000</t>
  </si>
  <si>
    <r>
      <rPr>
        <sz val="12"/>
        <rFont val="宋体"/>
        <charset val="134"/>
      </rPr>
      <t>淋巴结清扫费</t>
    </r>
    <r>
      <rPr>
        <sz val="12"/>
        <rFont val="Times New Roman"/>
        <charset val="0"/>
      </rPr>
      <t xml:space="preserve">
</t>
    </r>
    <r>
      <rPr>
        <sz val="12"/>
        <rFont val="宋体"/>
        <charset val="134"/>
      </rPr>
      <t>（下肢）</t>
    </r>
  </si>
  <si>
    <t>通过手术清扫下肢淋巴结。</t>
  </si>
  <si>
    <t>013310001220001</t>
  </si>
  <si>
    <r>
      <rPr>
        <sz val="12"/>
        <rFont val="宋体"/>
        <charset val="134"/>
      </rPr>
      <t>淋巴结清扫费（下肢）</t>
    </r>
    <r>
      <rPr>
        <sz val="12"/>
        <rFont val="Times New Roman"/>
        <charset val="0"/>
      </rPr>
      <t>-</t>
    </r>
    <r>
      <rPr>
        <sz val="12"/>
        <rFont val="宋体"/>
        <charset val="134"/>
      </rPr>
      <t>儿童（加收）</t>
    </r>
  </si>
  <si>
    <t>013310001230000</t>
  </si>
  <si>
    <t>食管裂孔疝修补费</t>
  </si>
  <si>
    <t>通过手术对食管裂孔疝进行修补。</t>
  </si>
  <si>
    <t>所定价格涵盖手术计划、术区准备、消毒、切开、探查、分离、修补、固定、引流、冲洗、止血、缝合、处理用物，必要时行抗返流操作等步骤所需的人力资源和基本物质资源消耗。</t>
  </si>
  <si>
    <t>疝、甲乳类</t>
  </si>
  <si>
    <t>013310001230001</t>
  </si>
  <si>
    <r>
      <rPr>
        <sz val="12"/>
        <rFont val="宋体"/>
        <charset val="134"/>
      </rPr>
      <t>食管裂孔疝修补费</t>
    </r>
    <r>
      <rPr>
        <sz val="12"/>
        <rFont val="Times New Roman"/>
        <charset val="0"/>
      </rPr>
      <t>-</t>
    </r>
    <r>
      <rPr>
        <sz val="12"/>
        <rFont val="宋体"/>
        <charset val="134"/>
      </rPr>
      <t>儿童（加收）</t>
    </r>
  </si>
  <si>
    <t>013310001240000</t>
  </si>
  <si>
    <t>腹壁疝修补费</t>
  </si>
  <si>
    <t>通过手术对切口疝、脐疝、腹白线疝、半月线疝等腹壁疝进行修补。</t>
  </si>
  <si>
    <t>所定价格涵盖手术计划、术区准备、消毒、切开、探查、分离、还纳、修补、引流、冲洗、止血、缝合、处理用物等步骤所需的人力资源和基本物质资源消耗。</t>
  </si>
  <si>
    <r>
      <rPr>
        <sz val="12"/>
        <rFont val="宋体"/>
        <charset val="134"/>
      </rPr>
      <t>如出现</t>
    </r>
    <r>
      <rPr>
        <sz val="12"/>
        <rFont val="Times New Roman"/>
        <charset val="0"/>
      </rPr>
      <t>“</t>
    </r>
    <r>
      <rPr>
        <sz val="12"/>
        <rFont val="宋体"/>
        <charset val="134"/>
      </rPr>
      <t>复杂疝修补费</t>
    </r>
    <r>
      <rPr>
        <sz val="12"/>
        <rFont val="Times New Roman"/>
        <charset val="0"/>
      </rPr>
      <t>”</t>
    </r>
    <r>
      <rPr>
        <sz val="12"/>
        <rFont val="宋体"/>
        <charset val="134"/>
      </rPr>
      <t>所称复杂情况，按</t>
    </r>
    <r>
      <rPr>
        <sz val="12"/>
        <rFont val="Times New Roman"/>
        <charset val="0"/>
      </rPr>
      <t>“</t>
    </r>
    <r>
      <rPr>
        <sz val="12"/>
        <rFont val="宋体"/>
        <charset val="134"/>
      </rPr>
      <t>复杂疝修补费</t>
    </r>
    <r>
      <rPr>
        <sz val="12"/>
        <rFont val="Times New Roman"/>
        <charset val="0"/>
      </rPr>
      <t>”</t>
    </r>
    <r>
      <rPr>
        <sz val="12"/>
        <rFont val="宋体"/>
        <charset val="134"/>
      </rPr>
      <t>收取。</t>
    </r>
  </si>
  <si>
    <t>013310001240001</t>
  </si>
  <si>
    <r>
      <rPr>
        <sz val="12"/>
        <rFont val="宋体"/>
        <charset val="134"/>
      </rPr>
      <t>腹壁疝修补费</t>
    </r>
    <r>
      <rPr>
        <sz val="12"/>
        <rFont val="Times New Roman"/>
        <charset val="0"/>
      </rPr>
      <t>-</t>
    </r>
    <r>
      <rPr>
        <sz val="12"/>
        <rFont val="宋体"/>
        <charset val="134"/>
      </rPr>
      <t>儿童（加收）</t>
    </r>
  </si>
  <si>
    <t>013310001240100</t>
  </si>
  <si>
    <r>
      <rPr>
        <sz val="12"/>
        <rFont val="宋体"/>
        <charset val="134"/>
      </rPr>
      <t>腹壁疝修补费</t>
    </r>
    <r>
      <rPr>
        <sz val="12"/>
        <rFont val="Times New Roman"/>
        <charset val="0"/>
      </rPr>
      <t>-</t>
    </r>
    <r>
      <rPr>
        <sz val="12"/>
        <rFont val="宋体"/>
        <charset val="134"/>
      </rPr>
      <t>腰疝修补（扩展）</t>
    </r>
  </si>
  <si>
    <t>013310001250000</t>
  </si>
  <si>
    <t>腹股沟疝修补费</t>
  </si>
  <si>
    <t>通过手术对腹股沟疝进行修补。</t>
  </si>
  <si>
    <r>
      <rPr>
        <sz val="12"/>
        <rFont val="宋体"/>
        <charset val="134"/>
      </rPr>
      <t>所定价格涵盖手术计划、术区准备、消毒、切开、探查、分离、还纳、修补</t>
    </r>
    <r>
      <rPr>
        <sz val="12"/>
        <rFont val="Times New Roman"/>
        <charset val="0"/>
      </rPr>
      <t>/</t>
    </r>
    <r>
      <rPr>
        <sz val="12"/>
        <rFont val="宋体"/>
        <charset val="134"/>
      </rPr>
      <t>结扎、引流、冲洗、止血、缝合、处理用物等步骤所需的人力资源和基本物质资源消耗。</t>
    </r>
  </si>
  <si>
    <t>013310001250001</t>
  </si>
  <si>
    <r>
      <rPr>
        <sz val="12"/>
        <rFont val="宋体"/>
        <charset val="134"/>
      </rPr>
      <t>腹股沟疝修补费</t>
    </r>
    <r>
      <rPr>
        <sz val="12"/>
        <rFont val="Times New Roman"/>
        <charset val="0"/>
      </rPr>
      <t>-</t>
    </r>
    <r>
      <rPr>
        <sz val="12"/>
        <rFont val="宋体"/>
        <charset val="134"/>
      </rPr>
      <t>儿童（加收）</t>
    </r>
  </si>
  <si>
    <t>013310001260000</t>
  </si>
  <si>
    <t>盆底疝修补费</t>
  </si>
  <si>
    <t>通过手术对会阴疝、坐骨孔疝、闭孔疝等盆底疝进行修补。</t>
  </si>
  <si>
    <t>013310001260001</t>
  </si>
  <si>
    <r>
      <rPr>
        <sz val="12"/>
        <rFont val="宋体"/>
        <charset val="134"/>
      </rPr>
      <t>盆底疝修补费</t>
    </r>
    <r>
      <rPr>
        <sz val="12"/>
        <rFont val="Times New Roman"/>
        <charset val="0"/>
      </rPr>
      <t>-</t>
    </r>
    <r>
      <rPr>
        <sz val="12"/>
        <rFont val="宋体"/>
        <charset val="134"/>
      </rPr>
      <t>儿童（加收）</t>
    </r>
  </si>
  <si>
    <t>013310001270000</t>
  </si>
  <si>
    <t>造口旁疝修补费</t>
  </si>
  <si>
    <t>通过手术对造口旁疝进行修补。</t>
  </si>
  <si>
    <t>013310001270001</t>
  </si>
  <si>
    <r>
      <rPr>
        <sz val="12"/>
        <rFont val="宋体"/>
        <charset val="134"/>
      </rPr>
      <t>造口旁疝修补费</t>
    </r>
    <r>
      <rPr>
        <sz val="12"/>
        <rFont val="Times New Roman"/>
        <charset val="0"/>
      </rPr>
      <t>-</t>
    </r>
    <r>
      <rPr>
        <sz val="12"/>
        <rFont val="宋体"/>
        <charset val="134"/>
      </rPr>
      <t>儿童（加收）</t>
    </r>
  </si>
  <si>
    <t>013310001280000</t>
  </si>
  <si>
    <t>腹内疝修补费</t>
  </si>
  <si>
    <t>通过手术对腹内疝进行修补。</t>
  </si>
  <si>
    <t>所定价格涵盖手术计划、术区准备、消毒、切开、探查、分离、松解、还纳、修补、引流、冲洗、止血、缝合、处理用物等步骤所需的人力资源和基本物质资源消耗。</t>
  </si>
  <si>
    <r>
      <rPr>
        <sz val="12"/>
        <rFont val="Times New Roman"/>
        <charset val="0"/>
      </rPr>
      <t>1.</t>
    </r>
    <r>
      <rPr>
        <sz val="12"/>
        <rFont val="宋体"/>
        <charset val="134"/>
      </rPr>
      <t>本项目中的</t>
    </r>
    <r>
      <rPr>
        <sz val="12"/>
        <rFont val="Times New Roman"/>
        <charset val="0"/>
      </rPr>
      <t>“</t>
    </r>
    <r>
      <rPr>
        <sz val="12"/>
        <rFont val="宋体"/>
        <charset val="134"/>
      </rPr>
      <t>腹内疝</t>
    </r>
    <r>
      <rPr>
        <sz val="12"/>
        <rFont val="Times New Roman"/>
        <charset val="0"/>
      </rPr>
      <t>”</t>
    </r>
    <r>
      <rPr>
        <sz val="12"/>
        <rFont val="宋体"/>
        <charset val="134"/>
      </rPr>
      <t>指：系膜裂孔疝、网膜裂孔疝、腹膜隐窝疝等。</t>
    </r>
    <r>
      <rPr>
        <sz val="12"/>
        <rFont val="Times New Roman"/>
        <charset val="0"/>
      </rPr>
      <t xml:space="preserve">
2.</t>
    </r>
    <r>
      <rPr>
        <sz val="12"/>
        <rFont val="宋体"/>
        <charset val="134"/>
      </rPr>
      <t>如出现</t>
    </r>
    <r>
      <rPr>
        <sz val="12"/>
        <rFont val="Times New Roman"/>
        <charset val="0"/>
      </rPr>
      <t>“</t>
    </r>
    <r>
      <rPr>
        <sz val="12"/>
        <rFont val="宋体"/>
        <charset val="134"/>
      </rPr>
      <t>复杂疝修补费</t>
    </r>
    <r>
      <rPr>
        <sz val="12"/>
        <rFont val="Times New Roman"/>
        <charset val="0"/>
      </rPr>
      <t>”</t>
    </r>
    <r>
      <rPr>
        <sz val="12"/>
        <rFont val="宋体"/>
        <charset val="134"/>
      </rPr>
      <t>所称复杂情况，按</t>
    </r>
    <r>
      <rPr>
        <sz val="12"/>
        <rFont val="Times New Roman"/>
        <charset val="0"/>
      </rPr>
      <t>“</t>
    </r>
    <r>
      <rPr>
        <sz val="12"/>
        <rFont val="宋体"/>
        <charset val="134"/>
      </rPr>
      <t>复杂疝修补费</t>
    </r>
    <r>
      <rPr>
        <sz val="12"/>
        <rFont val="Times New Roman"/>
        <charset val="0"/>
      </rPr>
      <t>”</t>
    </r>
    <r>
      <rPr>
        <sz val="12"/>
        <rFont val="宋体"/>
        <charset val="134"/>
      </rPr>
      <t>收取。</t>
    </r>
  </si>
  <si>
    <t>013310001280001</t>
  </si>
  <si>
    <r>
      <rPr>
        <sz val="12"/>
        <rFont val="宋体"/>
        <charset val="134"/>
      </rPr>
      <t>腹内疝修补费</t>
    </r>
    <r>
      <rPr>
        <sz val="12"/>
        <rFont val="Times New Roman"/>
        <charset val="0"/>
      </rPr>
      <t>-</t>
    </r>
    <r>
      <rPr>
        <sz val="12"/>
        <rFont val="宋体"/>
        <charset val="134"/>
      </rPr>
      <t>儿童（加收）</t>
    </r>
  </si>
  <si>
    <t>013310001290000</t>
  </si>
  <si>
    <t>复杂疝修补费</t>
  </si>
  <si>
    <t>通过手术对各类疝的复杂情况进行修补。</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</si>
  <si>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t>
    </r>
    <r>
      <rPr>
        <sz val="12"/>
        <rFont val="Times New Roman"/>
        <charset val="0"/>
      </rPr>
      <t>“</t>
    </r>
    <r>
      <rPr>
        <sz val="12"/>
        <rFont val="宋体"/>
        <charset val="134"/>
      </rPr>
      <t>巨大疝（疝环大于</t>
    </r>
    <r>
      <rPr>
        <sz val="12"/>
        <rFont val="Times New Roman"/>
        <charset val="0"/>
      </rPr>
      <t>12cm</t>
    </r>
    <r>
      <rPr>
        <sz val="12"/>
        <rFont val="宋体"/>
        <charset val="134"/>
      </rPr>
      <t>以上）、嵌顿坏死、合并腹水、复发疝、多发疝、边缘性腹壁疝</t>
    </r>
    <r>
      <rPr>
        <sz val="12"/>
        <rFont val="Times New Roman"/>
        <charset val="0"/>
      </rPr>
      <t>”</t>
    </r>
    <r>
      <rPr>
        <sz val="12"/>
        <rFont val="宋体"/>
        <charset val="134"/>
      </rPr>
      <t>的疝修补。</t>
    </r>
  </si>
  <si>
    <t>013310001290001</t>
  </si>
  <si>
    <r>
      <rPr>
        <sz val="12"/>
        <rFont val="宋体"/>
        <charset val="134"/>
      </rPr>
      <t>复杂疝修补费</t>
    </r>
    <r>
      <rPr>
        <sz val="12"/>
        <rFont val="Times New Roman"/>
        <charset val="0"/>
      </rPr>
      <t>-</t>
    </r>
    <r>
      <rPr>
        <sz val="12"/>
        <rFont val="宋体"/>
        <charset val="134"/>
      </rPr>
      <t>儿童（加收）</t>
    </r>
  </si>
  <si>
    <t>013310001300000</t>
  </si>
  <si>
    <t>腹壁缺损修复费</t>
  </si>
  <si>
    <t>通过手术修复腹壁缺损。</t>
  </si>
  <si>
    <t>所定价格涵盖手术计划、术区准备、消毒、切开、探查、分离、修复、引流、冲洗、止血、缝合、处理用物等步骤所需的人力资源和基本物质资源消耗。</t>
  </si>
  <si>
    <t>013310001300001</t>
  </si>
  <si>
    <r>
      <rPr>
        <sz val="12"/>
        <rFont val="宋体"/>
        <charset val="134"/>
      </rPr>
      <t>腹壁缺损修复费</t>
    </r>
    <r>
      <rPr>
        <sz val="12"/>
        <rFont val="Times New Roman"/>
        <charset val="0"/>
      </rPr>
      <t>-</t>
    </r>
    <r>
      <rPr>
        <sz val="12"/>
        <rFont val="宋体"/>
        <charset val="134"/>
      </rPr>
      <t>儿童（加收）</t>
    </r>
  </si>
  <si>
    <t>013310001310000</t>
  </si>
  <si>
    <t>腹壁病变切除费</t>
  </si>
  <si>
    <t>通过手术切除腹壁病变。</t>
  </si>
  <si>
    <t>013310001310001</t>
  </si>
  <si>
    <r>
      <rPr>
        <sz val="12"/>
        <rFont val="宋体"/>
        <charset val="134"/>
      </rPr>
      <t>腹壁病变切除费</t>
    </r>
    <r>
      <rPr>
        <sz val="12"/>
        <rFont val="Times New Roman"/>
        <charset val="0"/>
      </rPr>
      <t>-</t>
    </r>
    <r>
      <rPr>
        <sz val="12"/>
        <rFont val="宋体"/>
        <charset val="134"/>
      </rPr>
      <t>儿童（加收）</t>
    </r>
  </si>
  <si>
    <t>013310001310011</t>
  </si>
  <si>
    <r>
      <rPr>
        <sz val="12"/>
        <rFont val="宋体"/>
        <charset val="134"/>
      </rPr>
      <t>腹壁病变切除费</t>
    </r>
    <r>
      <rPr>
        <sz val="12"/>
        <rFont val="Times New Roman"/>
        <charset val="0"/>
      </rPr>
      <t>-</t>
    </r>
    <r>
      <rPr>
        <sz val="12"/>
        <rFont val="宋体"/>
        <charset val="134"/>
      </rPr>
      <t>恶性肿瘤切除（加收）</t>
    </r>
  </si>
  <si>
    <t>013310001310021</t>
  </si>
  <si>
    <r>
      <rPr>
        <sz val="12"/>
        <rFont val="宋体"/>
        <charset val="134"/>
      </rPr>
      <t>腹壁病变切除费</t>
    </r>
    <r>
      <rPr>
        <sz val="12"/>
        <rFont val="Times New Roman"/>
        <charset val="0"/>
      </rPr>
      <t>-</t>
    </r>
    <r>
      <rPr>
        <sz val="12"/>
        <rFont val="宋体"/>
        <charset val="134"/>
      </rPr>
      <t>多病变切除（加收）</t>
    </r>
  </si>
  <si>
    <t>013310001320000</t>
  </si>
  <si>
    <t>腹膜病变切除费</t>
  </si>
  <si>
    <t>通过手术切除腹膜及网膜、系膜病变。</t>
  </si>
  <si>
    <r>
      <rPr>
        <sz val="12"/>
        <rFont val="宋体"/>
        <charset val="134"/>
      </rPr>
      <t>腹膜后病变按泌尿系统项目</t>
    </r>
    <r>
      <rPr>
        <sz val="12"/>
        <rFont val="Times New Roman"/>
        <charset val="0"/>
      </rPr>
      <t>“</t>
    </r>
    <r>
      <rPr>
        <sz val="12"/>
        <rFont val="宋体"/>
        <charset val="134"/>
      </rPr>
      <t>腹膜后肿物切除费</t>
    </r>
    <r>
      <rPr>
        <sz val="12"/>
        <rFont val="Times New Roman"/>
        <charset val="0"/>
      </rPr>
      <t>”</t>
    </r>
    <r>
      <rPr>
        <sz val="12"/>
        <rFont val="宋体"/>
        <charset val="134"/>
      </rPr>
      <t>收取。</t>
    </r>
  </si>
  <si>
    <t>013310001320001</t>
  </si>
  <si>
    <r>
      <rPr>
        <sz val="12"/>
        <rFont val="宋体"/>
        <charset val="134"/>
      </rPr>
      <t>腹膜病变切除费</t>
    </r>
    <r>
      <rPr>
        <sz val="12"/>
        <rFont val="Times New Roman"/>
        <charset val="0"/>
      </rPr>
      <t>-</t>
    </r>
    <r>
      <rPr>
        <sz val="12"/>
        <rFont val="宋体"/>
        <charset val="134"/>
      </rPr>
      <t>儿童（加收）</t>
    </r>
  </si>
  <si>
    <t>013310001320011</t>
  </si>
  <si>
    <r>
      <rPr>
        <sz val="12"/>
        <rFont val="宋体"/>
        <charset val="134"/>
      </rPr>
      <t>腹膜病变切除费</t>
    </r>
    <r>
      <rPr>
        <sz val="12"/>
        <rFont val="Times New Roman"/>
        <charset val="0"/>
      </rPr>
      <t>-</t>
    </r>
    <r>
      <rPr>
        <sz val="12"/>
        <rFont val="宋体"/>
        <charset val="134"/>
      </rPr>
      <t>多病变切除（加收）</t>
    </r>
  </si>
  <si>
    <t>013310001320021</t>
  </si>
  <si>
    <r>
      <rPr>
        <sz val="12"/>
        <rFont val="宋体"/>
        <charset val="134"/>
      </rPr>
      <t>腹膜病变切除费</t>
    </r>
    <r>
      <rPr>
        <sz val="12"/>
        <rFont val="Times New Roman"/>
        <charset val="0"/>
      </rPr>
      <t>-</t>
    </r>
    <r>
      <rPr>
        <sz val="12"/>
        <rFont val="宋体"/>
        <charset val="134"/>
      </rPr>
      <t>肠系膜病变切除（加收）</t>
    </r>
  </si>
  <si>
    <t>012416000080000</t>
  </si>
  <si>
    <t>乳管镜检查费</t>
  </si>
  <si>
    <t>通过乳管镜对乳管内疾病进行诊断。</t>
  </si>
  <si>
    <t>所定价格涵盖消毒、扩张、置镜、观察、记录、撤镜、出具报告、处理用物等步骤所需的人力资源和基本物质资源消耗。</t>
  </si>
  <si>
    <t>013114000130000</t>
  </si>
  <si>
    <t>乳管镜治疗费</t>
  </si>
  <si>
    <t>通过乳管镜治疗乳管内疾病。</t>
  </si>
  <si>
    <t>013316000350000</t>
  </si>
  <si>
    <t>乳腺病变切除费</t>
  </si>
  <si>
    <t>通过手术切除乳腺病变。</t>
  </si>
  <si>
    <r>
      <rPr>
        <sz val="12"/>
        <rFont val="宋体"/>
        <charset val="134"/>
      </rPr>
      <t>所定价格涵盖手术计划、术区准备、消毒、切开、探查、分离、切除</t>
    </r>
    <r>
      <rPr>
        <sz val="12"/>
        <rFont val="Times New Roman"/>
        <charset val="0"/>
      </rPr>
      <t>/</t>
    </r>
    <r>
      <rPr>
        <sz val="12"/>
        <rFont val="宋体"/>
        <charset val="134"/>
      </rPr>
      <t>旋切、冲洗、止血、引流、缝合、处理用物等步骤所需的人力资源和基本物质资源消耗。</t>
    </r>
  </si>
  <si>
    <t>013316000350001</t>
  </si>
  <si>
    <r>
      <rPr>
        <sz val="12"/>
        <rFont val="宋体"/>
        <charset val="134"/>
      </rPr>
      <t>乳腺病变切除费</t>
    </r>
    <r>
      <rPr>
        <sz val="12"/>
        <rFont val="Times New Roman"/>
        <charset val="0"/>
      </rPr>
      <t>-</t>
    </r>
    <r>
      <rPr>
        <sz val="12"/>
        <rFont val="宋体"/>
        <charset val="134"/>
      </rPr>
      <t>儿童（加收）</t>
    </r>
  </si>
  <si>
    <t>013316000350011</t>
  </si>
  <si>
    <r>
      <rPr>
        <sz val="12"/>
        <rFont val="宋体"/>
        <charset val="134"/>
      </rPr>
      <t>乳腺病变切除费</t>
    </r>
    <r>
      <rPr>
        <sz val="12"/>
        <rFont val="Times New Roman"/>
        <charset val="0"/>
      </rPr>
      <t>-</t>
    </r>
    <r>
      <rPr>
        <sz val="12"/>
        <rFont val="宋体"/>
        <charset val="134"/>
      </rPr>
      <t>多病变切除（加收）</t>
    </r>
  </si>
  <si>
    <t>013316000360000</t>
  </si>
  <si>
    <t>乳腺部分切除费</t>
  </si>
  <si>
    <t>通过手术切除部分乳腺。</t>
  </si>
  <si>
    <t>本项目不含胸壁、乳房重建。</t>
  </si>
  <si>
    <t>013316000360001</t>
  </si>
  <si>
    <r>
      <rPr>
        <sz val="12"/>
        <rFont val="宋体"/>
        <charset val="134"/>
      </rPr>
      <t>乳腺部分切除费</t>
    </r>
    <r>
      <rPr>
        <sz val="12"/>
        <rFont val="Times New Roman"/>
        <charset val="0"/>
      </rPr>
      <t>-</t>
    </r>
    <r>
      <rPr>
        <sz val="12"/>
        <rFont val="宋体"/>
        <charset val="134"/>
      </rPr>
      <t>儿童（加收）</t>
    </r>
  </si>
  <si>
    <t>013316000360011</t>
  </si>
  <si>
    <r>
      <rPr>
        <sz val="12"/>
        <rFont val="宋体"/>
        <charset val="134"/>
      </rPr>
      <t>乳腺部分切除费</t>
    </r>
    <r>
      <rPr>
        <sz val="12"/>
        <rFont val="Times New Roman"/>
        <charset val="0"/>
      </rPr>
      <t>-</t>
    </r>
    <r>
      <rPr>
        <sz val="12"/>
        <rFont val="宋体"/>
        <charset val="134"/>
      </rPr>
      <t>恶性肿瘤切除（加收）</t>
    </r>
  </si>
  <si>
    <t>013316000370000</t>
  </si>
  <si>
    <t>乳腺全切除费</t>
  </si>
  <si>
    <t>通过手术切除全部乳腺。</t>
  </si>
  <si>
    <r>
      <rPr>
        <sz val="12"/>
        <rFont val="Times New Roman"/>
        <charset val="0"/>
      </rPr>
      <t>1.</t>
    </r>
    <r>
      <rPr>
        <sz val="12"/>
        <rFont val="宋体"/>
        <charset val="134"/>
      </rPr>
      <t>本项目中的</t>
    </r>
    <r>
      <rPr>
        <sz val="12"/>
        <rFont val="Times New Roman"/>
        <charset val="0"/>
      </rPr>
      <t>“</t>
    </r>
    <r>
      <rPr>
        <sz val="12"/>
        <rFont val="宋体"/>
        <charset val="134"/>
      </rPr>
      <t>恶性肿瘤扩大根治性切除</t>
    </r>
    <r>
      <rPr>
        <sz val="12"/>
        <rFont val="Times New Roman"/>
        <charset val="0"/>
      </rPr>
      <t>”</t>
    </r>
    <r>
      <rPr>
        <sz val="12"/>
        <rFont val="宋体"/>
        <charset val="134"/>
      </rPr>
      <t>指联合多脏器切除，且不含淋巴结清扫。</t>
    </r>
    <r>
      <rPr>
        <sz val="12"/>
        <rFont val="Times New Roman"/>
        <charset val="0"/>
      </rPr>
      <t xml:space="preserve">
2.</t>
    </r>
    <r>
      <rPr>
        <sz val="12"/>
        <rFont val="宋体"/>
        <charset val="134"/>
      </rPr>
      <t>本项目不含胸壁、乳房重建。</t>
    </r>
  </si>
  <si>
    <t>013316000370001</t>
  </si>
  <si>
    <r>
      <rPr>
        <sz val="12"/>
        <rFont val="宋体"/>
        <charset val="134"/>
      </rPr>
      <t>乳腺全切除费</t>
    </r>
    <r>
      <rPr>
        <sz val="12"/>
        <rFont val="Times New Roman"/>
        <charset val="0"/>
      </rPr>
      <t>-</t>
    </r>
    <r>
      <rPr>
        <sz val="12"/>
        <rFont val="宋体"/>
        <charset val="134"/>
      </rPr>
      <t>儿童（加收）</t>
    </r>
  </si>
  <si>
    <t>013316000370011</t>
  </si>
  <si>
    <r>
      <rPr>
        <sz val="12"/>
        <rFont val="宋体"/>
        <charset val="134"/>
      </rPr>
      <t>乳腺全切除费</t>
    </r>
    <r>
      <rPr>
        <sz val="12"/>
        <rFont val="Times New Roman"/>
        <charset val="0"/>
      </rPr>
      <t>-</t>
    </r>
    <r>
      <rPr>
        <sz val="12"/>
        <rFont val="宋体"/>
        <charset val="134"/>
      </rPr>
      <t>恶性肿瘤扩大根治性切除（加收）</t>
    </r>
  </si>
  <si>
    <t>013316000370021</t>
  </si>
  <si>
    <r>
      <rPr>
        <sz val="12"/>
        <rFont val="宋体"/>
        <charset val="134"/>
      </rPr>
      <t>乳腺全切除费</t>
    </r>
    <r>
      <rPr>
        <sz val="12"/>
        <rFont val="Times New Roman"/>
        <charset val="0"/>
      </rPr>
      <t>-</t>
    </r>
    <r>
      <rPr>
        <sz val="12"/>
        <rFont val="宋体"/>
        <charset val="134"/>
      </rPr>
      <t>保留乳头乳晕复合体</t>
    </r>
    <r>
      <rPr>
        <sz val="12"/>
        <rFont val="Times New Roman"/>
        <charset val="0"/>
      </rPr>
      <t>/</t>
    </r>
    <r>
      <rPr>
        <sz val="12"/>
        <rFont val="宋体"/>
        <charset val="134"/>
      </rPr>
      <t>皮肤（加收）</t>
    </r>
  </si>
  <si>
    <t>013316000380000</t>
  </si>
  <si>
    <t>副乳病变切除费</t>
  </si>
  <si>
    <t>通过手术切除副乳病变。</t>
  </si>
  <si>
    <t>013316000380001</t>
  </si>
  <si>
    <r>
      <rPr>
        <sz val="12"/>
        <rFont val="宋体"/>
        <charset val="134"/>
      </rPr>
      <t>副乳病变切除费</t>
    </r>
    <r>
      <rPr>
        <sz val="12"/>
        <rFont val="Times New Roman"/>
        <charset val="0"/>
      </rPr>
      <t>-</t>
    </r>
    <r>
      <rPr>
        <sz val="12"/>
        <rFont val="宋体"/>
        <charset val="134"/>
      </rPr>
      <t>儿童（加收）</t>
    </r>
  </si>
  <si>
    <t>013316000390000</t>
  </si>
  <si>
    <t>巨乳缩小费</t>
  </si>
  <si>
    <t>通过手术缩小乳房。</t>
  </si>
  <si>
    <t>所定价格涵盖手术计划、术区准备、消毒、切开、探查、分离、切除、重塑、冲洗、止血、引流、缝合、处理用物等步骤所需的人力资源和基本物质资源消耗。</t>
  </si>
  <si>
    <t>013316000390001</t>
  </si>
  <si>
    <r>
      <rPr>
        <sz val="12"/>
        <rFont val="宋体"/>
        <charset val="134"/>
      </rPr>
      <t>巨乳缩小费</t>
    </r>
    <r>
      <rPr>
        <sz val="12"/>
        <rFont val="Times New Roman"/>
        <charset val="0"/>
      </rPr>
      <t>-</t>
    </r>
    <r>
      <rPr>
        <sz val="12"/>
        <rFont val="宋体"/>
        <charset val="134"/>
      </rPr>
      <t>儿童（加收）</t>
    </r>
  </si>
  <si>
    <t>013114000140000</t>
  </si>
  <si>
    <t>标记物植入费</t>
  </si>
  <si>
    <t>通过穿刺等方式植入标记物。</t>
  </si>
  <si>
    <t>所定价格涵盖消毒、定位、穿刺、植入、处理用物等步骤所需的人力资源和基本物质资源消耗。（不含影像引导）</t>
  </si>
  <si>
    <t>013114000140001</t>
  </si>
  <si>
    <r>
      <rPr>
        <sz val="12"/>
        <rFont val="宋体"/>
        <charset val="134"/>
      </rPr>
      <t>标记物植入费</t>
    </r>
    <r>
      <rPr>
        <sz val="12"/>
        <rFont val="Times New Roman"/>
        <charset val="0"/>
      </rPr>
      <t>-</t>
    </r>
    <r>
      <rPr>
        <sz val="12"/>
        <rFont val="宋体"/>
        <charset val="134"/>
      </rPr>
      <t>多病灶标记物植入（加收）</t>
    </r>
  </si>
  <si>
    <t>013303000010000</t>
  </si>
  <si>
    <t>甲状腺部分切除费（常规）</t>
  </si>
  <si>
    <t>通过手术切除部分甲状腺组织。</t>
  </si>
  <si>
    <t>所定价格涵盖手术计划、术区准备、消毒、切开、显露探查甲状腺与甲状旁腺、分离、切除、冲洗、止血、引流、缝合、处理用物等步骤所需的人力资源和基本物质资源消耗。</t>
  </si>
  <si>
    <t>013303000010001</t>
  </si>
  <si>
    <r>
      <rPr>
        <sz val="12"/>
        <rFont val="宋体"/>
        <charset val="134"/>
      </rPr>
      <t>甲状腺部分切除费（常规）</t>
    </r>
    <r>
      <rPr>
        <sz val="12"/>
        <rFont val="Times New Roman"/>
        <charset val="0"/>
      </rPr>
      <t>-</t>
    </r>
    <r>
      <rPr>
        <sz val="12"/>
        <rFont val="宋体"/>
        <charset val="134"/>
      </rPr>
      <t>儿童（加收）</t>
    </r>
  </si>
  <si>
    <t>013303000020000</t>
  </si>
  <si>
    <t>甲状腺部分切除费（复杂）</t>
  </si>
  <si>
    <t>通过手术切除复杂情况下的部分甲状腺组织。</t>
  </si>
  <si>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指：联合胸骨劈开、胸骨下甲状腺的情况。</t>
    </r>
  </si>
  <si>
    <t>013303000020001</t>
  </si>
  <si>
    <r>
      <rPr>
        <sz val="12"/>
        <rFont val="宋体"/>
        <charset val="134"/>
      </rPr>
      <t>甲状腺部分切除费（复杂）</t>
    </r>
    <r>
      <rPr>
        <sz val="12"/>
        <rFont val="Times New Roman"/>
        <charset val="0"/>
      </rPr>
      <t>-</t>
    </r>
    <r>
      <rPr>
        <sz val="12"/>
        <rFont val="宋体"/>
        <charset val="134"/>
      </rPr>
      <t>儿童（加收）</t>
    </r>
  </si>
  <si>
    <t>013303000030000</t>
  </si>
  <si>
    <t>甲状腺全切除费（常规）</t>
  </si>
  <si>
    <t>通过手术切除单侧全部甲状腺，清理周围受累组织。</t>
  </si>
  <si>
    <t>013303000030001</t>
  </si>
  <si>
    <r>
      <rPr>
        <sz val="12"/>
        <rFont val="宋体"/>
        <charset val="134"/>
      </rPr>
      <t>甲状腺全切除费（常规）</t>
    </r>
    <r>
      <rPr>
        <sz val="12"/>
        <rFont val="Times New Roman"/>
        <charset val="0"/>
      </rPr>
      <t>-</t>
    </r>
    <r>
      <rPr>
        <sz val="12"/>
        <rFont val="宋体"/>
        <charset val="134"/>
      </rPr>
      <t>儿童（加收）</t>
    </r>
  </si>
  <si>
    <t>013303000030011</t>
  </si>
  <si>
    <r>
      <rPr>
        <sz val="12"/>
        <rFont val="宋体"/>
        <charset val="134"/>
      </rPr>
      <t>甲状腺全切除费（常规）</t>
    </r>
    <r>
      <rPr>
        <sz val="12"/>
        <rFont val="Times New Roman"/>
        <charset val="0"/>
      </rPr>
      <t>-</t>
    </r>
    <r>
      <rPr>
        <sz val="12"/>
        <rFont val="宋体"/>
        <charset val="134"/>
      </rPr>
      <t>恶性肿瘤扩大根治性切除（加收）</t>
    </r>
  </si>
  <si>
    <t>013303000040000</t>
  </si>
  <si>
    <t>甲状腺全切除费（复杂）</t>
  </si>
  <si>
    <t>通过手术切除复杂情况下的单侧全部甲状腺，清理周围受累组织。</t>
  </si>
  <si>
    <r>
      <rPr>
        <sz val="12"/>
        <rFont val="Times New Roman"/>
        <charset val="0"/>
      </rPr>
      <t>1.</t>
    </r>
    <r>
      <rPr>
        <sz val="12"/>
        <rFont val="宋体"/>
        <charset val="134"/>
      </rPr>
      <t>本项目中的</t>
    </r>
    <r>
      <rPr>
        <sz val="12"/>
        <rFont val="Times New Roman"/>
        <charset val="0"/>
      </rPr>
      <t>“</t>
    </r>
    <r>
      <rPr>
        <sz val="12"/>
        <rFont val="宋体"/>
        <charset val="134"/>
      </rPr>
      <t>恶性肿瘤扩大根治性切除</t>
    </r>
    <r>
      <rPr>
        <sz val="12"/>
        <rFont val="Times New Roman"/>
        <charset val="0"/>
      </rPr>
      <t>”</t>
    </r>
    <r>
      <rPr>
        <sz val="12"/>
        <rFont val="宋体"/>
        <charset val="134"/>
      </rPr>
      <t>指联合多脏器切除，且不含淋巴结清扫。</t>
    </r>
    <r>
      <rPr>
        <sz val="12"/>
        <rFont val="Times New Roman"/>
        <charset val="0"/>
      </rPr>
      <t xml:space="preserve">
2.</t>
    </r>
    <r>
      <rPr>
        <sz val="12"/>
        <rFont val="宋体"/>
        <charset val="134"/>
      </rPr>
      <t>本项目中的</t>
    </r>
    <r>
      <rPr>
        <sz val="12"/>
        <rFont val="Times New Roman"/>
        <charset val="0"/>
      </rPr>
      <t>“</t>
    </r>
    <r>
      <rPr>
        <sz val="12"/>
        <rFont val="宋体"/>
        <charset val="134"/>
      </rPr>
      <t>复杂</t>
    </r>
    <r>
      <rPr>
        <sz val="12"/>
        <rFont val="Times New Roman"/>
        <charset val="0"/>
      </rPr>
      <t>”</t>
    </r>
    <r>
      <rPr>
        <sz val="12"/>
        <rFont val="宋体"/>
        <charset val="134"/>
      </rPr>
      <t>指：联合胸骨劈开、胸骨下甲状腺的情况。</t>
    </r>
  </si>
  <si>
    <t>013303000040001</t>
  </si>
  <si>
    <r>
      <rPr>
        <sz val="12"/>
        <rFont val="宋体"/>
        <charset val="134"/>
      </rPr>
      <t>甲状腺全切除费（复杂）</t>
    </r>
    <r>
      <rPr>
        <sz val="12"/>
        <rFont val="Times New Roman"/>
        <charset val="0"/>
      </rPr>
      <t>-</t>
    </r>
    <r>
      <rPr>
        <sz val="12"/>
        <rFont val="宋体"/>
        <charset val="134"/>
      </rPr>
      <t>儿童（加收）</t>
    </r>
  </si>
  <si>
    <t>013303000040011</t>
  </si>
  <si>
    <r>
      <rPr>
        <sz val="12"/>
        <rFont val="宋体"/>
        <charset val="134"/>
      </rPr>
      <t>甲状腺全切除费（复杂）</t>
    </r>
    <r>
      <rPr>
        <sz val="12"/>
        <rFont val="Times New Roman"/>
        <charset val="0"/>
      </rPr>
      <t>-</t>
    </r>
    <r>
      <rPr>
        <sz val="12"/>
        <rFont val="宋体"/>
        <charset val="134"/>
      </rPr>
      <t>恶性肿瘤扩大根治性切除（加收）</t>
    </r>
  </si>
  <si>
    <t>013303000050000</t>
  </si>
  <si>
    <t>甲状旁腺切除费</t>
  </si>
  <si>
    <t>通过手术切除部分或全部病变甲状旁腺。</t>
  </si>
  <si>
    <t>013303000050001</t>
  </si>
  <si>
    <r>
      <rPr>
        <sz val="12"/>
        <rFont val="宋体"/>
        <charset val="134"/>
      </rPr>
      <t>甲状旁腺切除费</t>
    </r>
    <r>
      <rPr>
        <sz val="12"/>
        <rFont val="Times New Roman"/>
        <charset val="0"/>
      </rPr>
      <t>-</t>
    </r>
    <r>
      <rPr>
        <sz val="12"/>
        <rFont val="宋体"/>
        <charset val="134"/>
      </rPr>
      <t>儿童（加收）</t>
    </r>
  </si>
  <si>
    <t>013303000050011</t>
  </si>
  <si>
    <r>
      <rPr>
        <sz val="12"/>
        <rFont val="宋体"/>
        <charset val="134"/>
      </rPr>
      <t>甲状旁腺切除费</t>
    </r>
    <r>
      <rPr>
        <sz val="12"/>
        <rFont val="Times New Roman"/>
        <charset val="0"/>
      </rPr>
      <t>-</t>
    </r>
    <r>
      <rPr>
        <sz val="12"/>
        <rFont val="宋体"/>
        <charset val="134"/>
      </rPr>
      <t>多个病变旁腺切除（加收）</t>
    </r>
  </si>
  <si>
    <t>013303000060000</t>
  </si>
  <si>
    <t>甲状旁腺移植费</t>
  </si>
  <si>
    <t>通过手术移植甲状旁腺组织或细胞。</t>
  </si>
  <si>
    <t>所定价格涵盖手术计划、术区准备、消毒、切开、显露探查甲状腺与甲状旁腺、移植、冲洗、止血、引流、缝合、处理用物等步骤所需的人力资源和基本物质资源消耗。</t>
  </si>
  <si>
    <t>013303000060001</t>
  </si>
  <si>
    <r>
      <rPr>
        <sz val="12"/>
        <rFont val="宋体"/>
        <charset val="134"/>
      </rPr>
      <t>甲状旁腺移植费</t>
    </r>
    <r>
      <rPr>
        <sz val="12"/>
        <rFont val="Times New Roman"/>
        <charset val="0"/>
      </rPr>
      <t>-</t>
    </r>
    <r>
      <rPr>
        <sz val="12"/>
        <rFont val="宋体"/>
        <charset val="134"/>
      </rPr>
      <t>儿童（加收）</t>
    </r>
  </si>
  <si>
    <t>013303000060100</t>
  </si>
  <si>
    <r>
      <rPr>
        <sz val="12"/>
        <rFont val="宋体"/>
        <charset val="134"/>
      </rPr>
      <t>甲状旁腺移植费</t>
    </r>
    <r>
      <rPr>
        <sz val="12"/>
        <rFont val="Times New Roman"/>
        <charset val="0"/>
      </rPr>
      <t>-</t>
    </r>
    <r>
      <rPr>
        <sz val="12"/>
        <rFont val="宋体"/>
        <charset val="134"/>
      </rPr>
      <t>甲状腺移植（扩展）</t>
    </r>
  </si>
  <si>
    <t>013303000061100</t>
  </si>
  <si>
    <r>
      <rPr>
        <sz val="12"/>
        <rFont val="宋体"/>
        <charset val="134"/>
      </rPr>
      <t>甲状旁腺移植费</t>
    </r>
    <r>
      <rPr>
        <sz val="12"/>
        <rFont val="Times New Roman"/>
        <charset val="0"/>
      </rPr>
      <t>-</t>
    </r>
    <r>
      <rPr>
        <sz val="12"/>
        <rFont val="宋体"/>
        <charset val="134"/>
      </rPr>
      <t>异种器官（扩展）</t>
    </r>
  </si>
  <si>
    <t>013303000070000</t>
  </si>
  <si>
    <t>甲状舌管病变切除费</t>
  </si>
  <si>
    <t>通过手术切除甲状舌管病变。</t>
  </si>
  <si>
    <t>013303000070001</t>
  </si>
  <si>
    <r>
      <rPr>
        <sz val="12"/>
        <rFont val="宋体"/>
        <charset val="134"/>
      </rPr>
      <t>甲状舌管病变切除费</t>
    </r>
    <r>
      <rPr>
        <sz val="12"/>
        <rFont val="Times New Roman"/>
        <charset val="0"/>
      </rPr>
      <t>-</t>
    </r>
    <r>
      <rPr>
        <sz val="12"/>
        <rFont val="宋体"/>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</si>
</sst>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_ "/>
  </numFmts>
  <fonts count="30">
    <font>
      <sz val="11"/>
      <color theme="1"/>
      <name val="宋体"/>
      <charset val="134"/>
      <scheme val="minor"/>
    </font>
    <font>
      <sz val="11"/>
      <name val="宋体"/>
      <charset val="134"/>
      <scheme val="minor"/>
    </font>
    <font>
      <sz val="20"/>
      <name val="宋体"/>
      <charset val="134"/>
      <scheme val="minor"/>
    </font>
    <font>
      <sz val="14"/>
      <name val="黑体"/>
      <charset val="134"/>
    </font>
    <font>
      <sz val="12"/>
      <name val="Times New Roman"/>
      <charset val="0"/>
    </font>
    <font>
      <sz val="12"/>
      <name val="宋体"/>
      <charset val="134"/>
    </font>
    <font>
      <strike/>
      <sz val="12"/>
      <name val="Times New Roman"/>
      <charset val="0"/>
    </font>
    <font>
      <sz val="12"/>
      <name val="方正书宋_GBK"/>
      <charset val="134"/>
    </font>
    <font>
      <sz val="1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alignment vertical="center"/>
    </xf>
  </cellStyleXfs>
  <cellXfs count="96">
    <xf numFmtId="0" fontId="0" fillId="0" borderId="0" xfId="0">
      <alignment vertical="center"/>
    </xf>
    <xf numFmtId="0" fontId="1" fillId="0" borderId="0" xfId="0" applyFont="1">
      <alignment vertical="center"/>
    </xf>
    <xf numFmtId="176" fontId="1" fillId="0" borderId="0" xfId="0" applyNumberFormat="1" applyFont="1">
      <alignment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Alignment="1">
      <alignment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2" xfId="0" applyNumberFormat="1" applyFont="1" applyFill="1" applyBorder="1" applyAlignment="1">
      <alignment horizontal="center" vertical="center"/>
    </xf>
    <xf numFmtId="0" fontId="1" fillId="0" borderId="1" xfId="0" applyFont="1" applyBorder="1">
      <alignment vertical="center"/>
    </xf>
    <xf numFmtId="0" fontId="4" fillId="0" borderId="1" xfId="0" applyFont="1" applyFill="1" applyBorder="1" applyAlignment="1"/>
    <xf numFmtId="0" fontId="4" fillId="0" borderId="1" xfId="0" applyFont="1" applyFill="1" applyBorder="1" applyAlignment="1">
      <alignment vertical="center"/>
    </xf>
    <xf numFmtId="176" fontId="4" fillId="0" borderId="2" xfId="0" applyNumberFormat="1" applyFont="1" applyFill="1" applyBorder="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lignment vertical="center"/>
    </xf>
    <xf numFmtId="0" fontId="5" fillId="0" borderId="1" xfId="0" applyFont="1" applyFill="1" applyBorder="1" applyAlignment="1">
      <alignment vertical="center" wrapText="1"/>
    </xf>
    <xf numFmtId="176" fontId="4" fillId="0" borderId="1" xfId="0" applyNumberFormat="1" applyFont="1" applyFill="1" applyBorder="1" applyAlignment="1">
      <alignment horizontal="center" vertical="center"/>
    </xf>
    <xf numFmtId="177" fontId="4" fillId="0" borderId="2" xfId="0" applyNumberFormat="1" applyFont="1" applyFill="1" applyBorder="1" applyAlignment="1" applyProtection="1">
      <alignment horizontal="center" vertical="center"/>
    </xf>
    <xf numFmtId="9" fontId="4"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5" fillId="0" borderId="1" xfId="49" applyFont="1" applyFill="1" applyBorder="1" applyAlignment="1">
      <alignment horizontal="left" vertical="center" wrapText="1"/>
    </xf>
    <xf numFmtId="0" fontId="4" fillId="0" borderId="1" xfId="49" applyFont="1" applyFill="1" applyBorder="1" applyAlignment="1">
      <alignment vertical="center" wrapText="1"/>
    </xf>
    <xf numFmtId="0" fontId="5" fillId="0" borderId="1" xfId="49" applyFont="1" applyFill="1" applyBorder="1" applyAlignment="1">
      <alignment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vertical="center" wrapText="1"/>
      <protection locked="0"/>
    </xf>
    <xf numFmtId="177" fontId="4" fillId="0" borderId="1" xfId="0" applyNumberFormat="1"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protection locked="0"/>
    </xf>
    <xf numFmtId="0" fontId="5" fillId="0" borderId="1" xfId="49"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1" xfId="49"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left" vertical="top" wrapText="1"/>
    </xf>
    <xf numFmtId="0" fontId="4" fillId="0" borderId="2" xfId="0" applyFont="1" applyFill="1" applyBorder="1" applyAlignment="1">
      <alignment horizontal="center" vertical="center"/>
    </xf>
    <xf numFmtId="0" fontId="5" fillId="0" borderId="3" xfId="0" applyFont="1" applyFill="1" applyBorder="1" applyAlignment="1">
      <alignment horizontal="left" vertical="center" wrapText="1"/>
    </xf>
    <xf numFmtId="177" fontId="4" fillId="0" borderId="2"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xf>
    <xf numFmtId="176" fontId="4" fillId="0" borderId="2"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4" fillId="0" borderId="3"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4" fillId="0" borderId="1" xfId="0" applyFont="1" applyFill="1" applyBorder="1" applyAlignment="1" applyProtection="1">
      <alignment horizontal="justify" vertical="center" wrapText="1"/>
      <protection locked="0"/>
    </xf>
    <xf numFmtId="0" fontId="5" fillId="0" borderId="1" xfId="0" applyFont="1" applyFill="1" applyBorder="1" applyAlignment="1" applyProtection="1">
      <alignment horizontal="justify" vertical="center" wrapText="1"/>
      <protection locked="0"/>
    </xf>
    <xf numFmtId="0" fontId="5" fillId="0" borderId="3" xfId="0" applyFont="1" applyFill="1" applyBorder="1" applyAlignment="1">
      <alignment vertical="center" wrapText="1"/>
    </xf>
    <xf numFmtId="0" fontId="7" fillId="0" borderId="1" xfId="0" applyFont="1" applyFill="1" applyBorder="1" applyAlignment="1">
      <alignment horizontal="left" vertical="center" wrapText="1"/>
    </xf>
    <xf numFmtId="0" fontId="4" fillId="0" borderId="3" xfId="0" applyFont="1" applyFill="1" applyBorder="1" applyAlignment="1">
      <alignment vertical="center" wrapText="1"/>
    </xf>
    <xf numFmtId="0" fontId="4" fillId="0" borderId="1" xfId="0" applyFont="1" applyFill="1" applyBorder="1" applyAlignment="1">
      <alignment horizontal="left" vertical="center" wrapText="1" indent="2"/>
    </xf>
    <xf numFmtId="0" fontId="4" fillId="0" borderId="3" xfId="0" applyFont="1" applyFill="1" applyBorder="1" applyAlignment="1">
      <alignment horizontal="justify" vertical="center"/>
    </xf>
    <xf numFmtId="0" fontId="5" fillId="0" borderId="3" xfId="0" applyFont="1" applyFill="1" applyBorder="1" applyAlignment="1">
      <alignment horizontal="justify" vertical="center"/>
    </xf>
    <xf numFmtId="1" fontId="4" fillId="0" borderId="1" xfId="0" applyNumberFormat="1"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1" fontId="5" fillId="0" borderId="1" xfId="0" applyNumberFormat="1" applyFont="1" applyFill="1" applyBorder="1" applyAlignment="1">
      <alignment horizontal="left" vertical="center" wrapText="1"/>
    </xf>
    <xf numFmtId="177" fontId="8" fillId="0" borderId="2" xfId="0" applyNumberFormat="1" applyFont="1" applyFill="1" applyBorder="1" applyAlignment="1">
      <alignment horizontal="center" vertical="center" wrapText="1"/>
    </xf>
    <xf numFmtId="0" fontId="4" fillId="0" borderId="3" xfId="0" applyFont="1" applyFill="1" applyBorder="1" applyAlignment="1">
      <alignment vertical="center"/>
    </xf>
    <xf numFmtId="0" fontId="4"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176" fontId="4" fillId="0" borderId="2" xfId="0" applyNumberFormat="1" applyFont="1" applyFill="1" applyBorder="1" applyAlignment="1" applyProtection="1">
      <alignment horizontal="center" vertical="center"/>
    </xf>
    <xf numFmtId="0" fontId="4" fillId="0" borderId="3" xfId="0" applyFont="1" applyFill="1" applyBorder="1" applyAlignment="1">
      <alignment horizontal="center" vertical="center" wrapText="1"/>
    </xf>
    <xf numFmtId="0" fontId="4" fillId="0" borderId="5" xfId="0" applyFont="1" applyFill="1" applyBorder="1" applyAlignment="1" applyProtection="1">
      <alignment vertical="center"/>
    </xf>
    <xf numFmtId="0" fontId="5" fillId="0" borderId="5" xfId="0" applyFont="1" applyFill="1" applyBorder="1" applyAlignment="1">
      <alignment horizontal="center" vertical="center" wrapText="1"/>
    </xf>
    <xf numFmtId="0" fontId="5" fillId="0" borderId="1" xfId="0" applyFont="1" applyFill="1" applyBorder="1" applyAlignment="1">
      <alignment horizontal="left" vertical="center"/>
    </xf>
    <xf numFmtId="176" fontId="4" fillId="0" borderId="0" xfId="0" applyNumberFormat="1"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178" fontId="4" fillId="0" borderId="2" xfId="0" applyNumberFormat="1" applyFont="1" applyFill="1" applyBorder="1" applyAlignment="1">
      <alignment horizontal="center" vertical="center"/>
    </xf>
    <xf numFmtId="0" fontId="5" fillId="0" borderId="2" xfId="0" applyFont="1" applyFill="1" applyBorder="1" applyAlignment="1">
      <alignment vertical="center" wrapText="1"/>
    </xf>
    <xf numFmtId="0" fontId="4" fillId="0" borderId="2" xfId="0" applyFont="1" applyFill="1" applyBorder="1" applyAlignment="1">
      <alignment vertical="center" wrapText="1"/>
    </xf>
    <xf numFmtId="0" fontId="5" fillId="0" borderId="2" xfId="0" applyFont="1" applyFill="1" applyBorder="1" applyAlignment="1">
      <alignment horizontal="justify" vertical="center" wrapText="1"/>
    </xf>
    <xf numFmtId="0" fontId="6" fillId="0" borderId="2" xfId="0" applyFont="1" applyFill="1" applyBorder="1" applyAlignment="1">
      <alignment vertical="center" wrapText="1"/>
    </xf>
    <xf numFmtId="49" fontId="4" fillId="0" borderId="2" xfId="0" applyNumberFormat="1" applyFont="1" applyFill="1" applyBorder="1" applyAlignment="1">
      <alignment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vertical="center" wrapText="1"/>
    </xf>
    <xf numFmtId="49" fontId="6" fillId="0" borderId="2" xfId="0" applyNumberFormat="1" applyFont="1" applyFill="1" applyBorder="1" applyAlignment="1">
      <alignment vertical="center" wrapText="1"/>
    </xf>
    <xf numFmtId="0" fontId="4" fillId="0" borderId="1" xfId="50" applyFont="1" applyFill="1" applyBorder="1" applyAlignment="1">
      <alignment horizontal="center" vertical="center" wrapText="1"/>
    </xf>
    <xf numFmtId="0" fontId="5" fillId="0" borderId="1" xfId="5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xf>
    <xf numFmtId="0" fontId="5" fillId="0" borderId="1" xfId="0" applyFont="1" applyFill="1" applyBorder="1" applyAlignment="1" quotePrefix="1">
      <alignment horizontal="center" vertical="center" wrapText="1"/>
    </xf>
    <xf numFmtId="0" fontId="4" fillId="0" borderId="4" xfId="0" applyFont="1" applyFill="1" applyBorder="1" applyAlignment="1" quotePrefix="1">
      <alignment horizontal="center" vertical="center" wrapText="1"/>
    </xf>
    <xf numFmtId="0" fontId="4" fillId="0" borderId="1" xfId="50" applyFont="1" applyFill="1" applyBorder="1" applyAlignment="1" quotePrefix="1">
      <alignment horizontal="center" vertical="center" wrapText="1"/>
    </xf>
    <xf numFmtId="0" fontId="4" fillId="0" borderId="1" xfId="0" applyFont="1" applyFill="1" applyBorder="1" applyAlignment="1" applyProtection="1" quotePrefix="1">
      <alignment horizontal="center" vertical="center" wrapText="1"/>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55"/>
  <sheetViews>
    <sheetView tabSelected="1" workbookViewId="0">
      <selection activeCell="D703" sqref="D703"/>
    </sheetView>
  </sheetViews>
  <sheetFormatPr defaultColWidth="9" defaultRowHeight="13.5"/>
  <cols>
    <col min="1" max="1" width="6.775" style="1" customWidth="1"/>
    <col min="2" max="2" width="9" style="1"/>
    <col min="3" max="3" width="24.6666666666667" style="1" customWidth="1"/>
    <col min="4" max="4" width="23.6666666666667" style="1" customWidth="1"/>
    <col min="5" max="5" width="26.1083333333333" style="1" customWidth="1"/>
    <col min="6" max="6" width="45" style="1" customWidth="1"/>
    <col min="7" max="7" width="9" style="1"/>
    <col min="8" max="8" width="23.225" style="1" customWidth="1"/>
    <col min="9" max="9" width="10.6666666666667" style="2"/>
    <col min="10" max="10" width="14.6666666666667" style="1" customWidth="1"/>
    <col min="11" max="16384" width="9" style="1"/>
  </cols>
  <sheetData>
    <row r="1" ht="25.5" spans="1:16">
      <c r="A1" s="3" t="s">
        <v>0</v>
      </c>
      <c r="B1" s="3"/>
      <c r="C1" s="3"/>
      <c r="D1" s="3"/>
      <c r="E1" s="3"/>
      <c r="F1" s="3"/>
      <c r="G1" s="3"/>
      <c r="H1" s="3"/>
      <c r="I1" s="4"/>
      <c r="J1" s="5"/>
      <c r="K1" s="5"/>
      <c r="L1" s="5"/>
      <c r="M1" s="5"/>
      <c r="N1" s="5"/>
      <c r="O1" s="5"/>
      <c r="P1" s="5"/>
    </row>
    <row r="2" ht="37.5" spans="1:16">
      <c r="A2" s="6" t="s">
        <v>1</v>
      </c>
      <c r="B2" s="7" t="s">
        <v>2</v>
      </c>
      <c r="C2" s="7" t="s">
        <v>3</v>
      </c>
      <c r="D2" s="6" t="s">
        <v>4</v>
      </c>
      <c r="E2" s="6" t="s">
        <v>5</v>
      </c>
      <c r="F2" s="6" t="s">
        <v>6</v>
      </c>
      <c r="G2" s="6" t="s">
        <v>7</v>
      </c>
      <c r="H2" s="6" t="s">
        <v>8</v>
      </c>
      <c r="I2" s="8" t="s">
        <v>9</v>
      </c>
      <c r="J2" s="9" t="s">
        <v>10</v>
      </c>
    </row>
    <row r="3" ht="42.75" spans="1:16">
      <c r="A3" s="10">
        <v>1</v>
      </c>
      <c r="B3" s="10" t="s">
        <v>11</v>
      </c>
      <c r="C3" s="11" t="s">
        <v>12</v>
      </c>
      <c r="D3" s="12" t="s">
        <v>13</v>
      </c>
      <c r="E3" s="12" t="s">
        <v>14</v>
      </c>
      <c r="F3" s="12" t="s">
        <v>15</v>
      </c>
      <c r="G3" s="13" t="s">
        <v>16</v>
      </c>
      <c r="H3" s="14" t="s">
        <v>17</v>
      </c>
      <c r="I3" s="15">
        <v>1500</v>
      </c>
      <c r="J3" s="16" t="s">
        <v>18</v>
      </c>
    </row>
    <row r="4" ht="42.75" spans="1:16">
      <c r="A4" s="10">
        <v>2</v>
      </c>
      <c r="B4" s="10" t="s">
        <v>11</v>
      </c>
      <c r="C4" s="11" t="s">
        <v>19</v>
      </c>
      <c r="D4" s="12" t="s">
        <v>20</v>
      </c>
      <c r="E4" s="12"/>
      <c r="F4" s="12"/>
      <c r="G4" s="13"/>
      <c r="H4" s="14"/>
      <c r="I4" s="15">
        <v>150</v>
      </c>
      <c r="J4" s="16" t="s">
        <v>18</v>
      </c>
    </row>
    <row r="5" ht="75.75" spans="1:16">
      <c r="A5" s="10">
        <v>3</v>
      </c>
      <c r="B5" s="10" t="s">
        <v>11</v>
      </c>
      <c r="C5" s="11" t="s">
        <v>21</v>
      </c>
      <c r="D5" s="12" t="s">
        <v>22</v>
      </c>
      <c r="E5" s="12" t="s">
        <v>23</v>
      </c>
      <c r="F5" s="12" t="s">
        <v>24</v>
      </c>
      <c r="G5" s="13" t="s">
        <v>16</v>
      </c>
      <c r="H5" s="14" t="s">
        <v>25</v>
      </c>
      <c r="I5" s="15">
        <v>1521</v>
      </c>
      <c r="J5" s="16" t="s">
        <v>18</v>
      </c>
    </row>
    <row r="6" ht="44.25" spans="1:16">
      <c r="A6" s="10">
        <v>4</v>
      </c>
      <c r="B6" s="10" t="s">
        <v>11</v>
      </c>
      <c r="C6" s="11" t="s">
        <v>26</v>
      </c>
      <c r="D6" s="12" t="s">
        <v>27</v>
      </c>
      <c r="E6" s="12" t="s">
        <v>28</v>
      </c>
      <c r="F6" s="12" t="s">
        <v>29</v>
      </c>
      <c r="G6" s="13" t="s">
        <v>16</v>
      </c>
      <c r="H6" s="14"/>
      <c r="I6" s="15">
        <v>184.5</v>
      </c>
      <c r="J6" s="16" t="s">
        <v>18</v>
      </c>
    </row>
    <row r="7" ht="72.75" spans="1:16">
      <c r="A7" s="10">
        <v>5</v>
      </c>
      <c r="B7" s="10" t="s">
        <v>11</v>
      </c>
      <c r="C7" s="11" t="s">
        <v>30</v>
      </c>
      <c r="D7" s="12" t="s">
        <v>31</v>
      </c>
      <c r="E7" s="12" t="s">
        <v>32</v>
      </c>
      <c r="F7" s="12" t="s">
        <v>33</v>
      </c>
      <c r="G7" s="13" t="s">
        <v>34</v>
      </c>
      <c r="H7" s="14"/>
      <c r="I7" s="15">
        <v>2000</v>
      </c>
      <c r="J7" s="16" t="s">
        <v>18</v>
      </c>
    </row>
    <row r="8" ht="42.75" spans="1:16">
      <c r="A8" s="10">
        <v>6</v>
      </c>
      <c r="B8" s="10" t="s">
        <v>11</v>
      </c>
      <c r="C8" s="11" t="s">
        <v>35</v>
      </c>
      <c r="D8" s="12" t="s">
        <v>36</v>
      </c>
      <c r="E8" s="12" t="s">
        <v>37</v>
      </c>
      <c r="F8" s="12" t="s">
        <v>38</v>
      </c>
      <c r="G8" s="13" t="s">
        <v>39</v>
      </c>
      <c r="H8" s="14"/>
      <c r="I8" s="15">
        <v>5500</v>
      </c>
      <c r="J8" s="16" t="s">
        <v>18</v>
      </c>
    </row>
    <row r="9" ht="42.75" spans="1:16">
      <c r="A9" s="10">
        <v>7</v>
      </c>
      <c r="B9" s="10" t="s">
        <v>11</v>
      </c>
      <c r="C9" s="11" t="s">
        <v>40</v>
      </c>
      <c r="D9" s="12" t="s">
        <v>41</v>
      </c>
      <c r="E9" s="12" t="s">
        <v>42</v>
      </c>
      <c r="F9" s="12" t="s">
        <v>43</v>
      </c>
      <c r="G9" s="13" t="s">
        <v>39</v>
      </c>
      <c r="H9" s="14"/>
      <c r="I9" s="15">
        <v>1000</v>
      </c>
      <c r="J9" s="16" t="s">
        <v>18</v>
      </c>
    </row>
    <row r="10" ht="42.75" spans="1:16">
      <c r="A10" s="10">
        <v>8</v>
      </c>
      <c r="B10" s="10" t="s">
        <v>11</v>
      </c>
      <c r="C10" s="11" t="s">
        <v>44</v>
      </c>
      <c r="D10" s="12" t="s">
        <v>45</v>
      </c>
      <c r="E10" s="12" t="s">
        <v>46</v>
      </c>
      <c r="F10" s="12" t="s">
        <v>47</v>
      </c>
      <c r="G10" s="13" t="s">
        <v>48</v>
      </c>
      <c r="H10" s="14"/>
      <c r="I10" s="15">
        <v>5</v>
      </c>
      <c r="J10" s="16" t="s">
        <v>18</v>
      </c>
    </row>
    <row r="11" ht="42.75" spans="1:16">
      <c r="A11" s="10">
        <v>9</v>
      </c>
      <c r="B11" s="10" t="s">
        <v>11</v>
      </c>
      <c r="C11" s="11" t="s">
        <v>49</v>
      </c>
      <c r="D11" s="12" t="s">
        <v>50</v>
      </c>
      <c r="E11" s="12" t="s">
        <v>51</v>
      </c>
      <c r="F11" s="12" t="s">
        <v>52</v>
      </c>
      <c r="G11" s="13" t="s">
        <v>39</v>
      </c>
      <c r="H11" s="17"/>
      <c r="I11" s="15">
        <v>196.8</v>
      </c>
      <c r="J11" s="16" t="s">
        <v>18</v>
      </c>
    </row>
    <row r="12" ht="78.75" spans="1:16">
      <c r="A12" s="10">
        <v>10</v>
      </c>
      <c r="B12" s="10" t="s">
        <v>11</v>
      </c>
      <c r="C12" s="11" t="s">
        <v>53</v>
      </c>
      <c r="D12" s="12" t="s">
        <v>54</v>
      </c>
      <c r="E12" s="12" t="s">
        <v>55</v>
      </c>
      <c r="F12" s="12" t="s">
        <v>56</v>
      </c>
      <c r="G12" s="13" t="s">
        <v>16</v>
      </c>
      <c r="H12" s="14" t="s">
        <v>57</v>
      </c>
      <c r="I12" s="15">
        <v>3854</v>
      </c>
      <c r="J12" s="16" t="s">
        <v>18</v>
      </c>
    </row>
    <row r="13" ht="60" spans="1:16">
      <c r="A13" s="10">
        <v>11</v>
      </c>
      <c r="B13" s="10" t="s">
        <v>11</v>
      </c>
      <c r="C13" s="11" t="s">
        <v>58</v>
      </c>
      <c r="D13" s="12" t="s">
        <v>59</v>
      </c>
      <c r="E13" s="12" t="s">
        <v>60</v>
      </c>
      <c r="F13" s="12" t="s">
        <v>61</v>
      </c>
      <c r="G13" s="13" t="s">
        <v>16</v>
      </c>
      <c r="H13" s="14" t="s">
        <v>62</v>
      </c>
      <c r="I13" s="15">
        <v>100</v>
      </c>
      <c r="J13" s="16" t="s">
        <v>18</v>
      </c>
    </row>
    <row r="14" ht="28.5" spans="1:16">
      <c r="A14" s="10">
        <v>12</v>
      </c>
      <c r="B14" s="10" t="s">
        <v>11</v>
      </c>
      <c r="C14" s="11" t="s">
        <v>63</v>
      </c>
      <c r="D14" s="12" t="s">
        <v>64</v>
      </c>
      <c r="E14" s="12" t="s">
        <v>65</v>
      </c>
      <c r="F14" s="12" t="s">
        <v>66</v>
      </c>
      <c r="G14" s="13" t="s">
        <v>16</v>
      </c>
      <c r="H14" s="18" t="s">
        <v>67</v>
      </c>
      <c r="I14" s="15">
        <v>20.5</v>
      </c>
      <c r="J14" s="16" t="s">
        <v>18</v>
      </c>
    </row>
    <row r="15" ht="42.75" spans="1:16">
      <c r="A15" s="10">
        <v>13</v>
      </c>
      <c r="B15" s="10" t="s">
        <v>11</v>
      </c>
      <c r="C15" s="11" t="s">
        <v>68</v>
      </c>
      <c r="D15" s="12" t="s">
        <v>69</v>
      </c>
      <c r="E15" s="12" t="s">
        <v>70</v>
      </c>
      <c r="F15" s="12" t="s">
        <v>71</v>
      </c>
      <c r="G15" s="13" t="s">
        <v>16</v>
      </c>
      <c r="H15" s="14"/>
      <c r="I15" s="15">
        <v>382.12</v>
      </c>
      <c r="J15" s="16" t="s">
        <v>18</v>
      </c>
    </row>
    <row r="16" ht="42.75" spans="1:16">
      <c r="A16" s="10">
        <v>14</v>
      </c>
      <c r="B16" s="10" t="s">
        <v>11</v>
      </c>
      <c r="C16" s="11" t="s">
        <v>72</v>
      </c>
      <c r="D16" s="12" t="s">
        <v>73</v>
      </c>
      <c r="E16" s="12" t="s">
        <v>74</v>
      </c>
      <c r="F16" s="12" t="s">
        <v>75</v>
      </c>
      <c r="G16" s="13" t="s">
        <v>16</v>
      </c>
      <c r="H16" s="14"/>
      <c r="I16" s="15">
        <v>50</v>
      </c>
      <c r="J16" s="16" t="s">
        <v>18</v>
      </c>
    </row>
    <row r="17" ht="42.75" spans="1:10">
      <c r="A17" s="10">
        <v>15</v>
      </c>
      <c r="B17" s="10" t="s">
        <v>11</v>
      </c>
      <c r="C17" s="11" t="s">
        <v>76</v>
      </c>
      <c r="D17" s="12" t="s">
        <v>77</v>
      </c>
      <c r="E17" s="12" t="s">
        <v>78</v>
      </c>
      <c r="F17" s="12" t="s">
        <v>79</v>
      </c>
      <c r="G17" s="13" t="s">
        <v>16</v>
      </c>
      <c r="H17" s="14"/>
      <c r="I17" s="15">
        <v>400</v>
      </c>
      <c r="J17" s="16" t="s">
        <v>18</v>
      </c>
    </row>
    <row r="18" ht="44.25" spans="1:10">
      <c r="A18" s="10">
        <v>16</v>
      </c>
      <c r="B18" s="10" t="s">
        <v>11</v>
      </c>
      <c r="C18" s="11" t="s">
        <v>80</v>
      </c>
      <c r="D18" s="12" t="s">
        <v>81</v>
      </c>
      <c r="E18" s="12" t="s">
        <v>82</v>
      </c>
      <c r="F18" s="12" t="s">
        <v>83</v>
      </c>
      <c r="G18" s="13" t="s">
        <v>16</v>
      </c>
      <c r="H18" s="14"/>
      <c r="I18" s="19">
        <v>492</v>
      </c>
      <c r="J18" s="16" t="s">
        <v>18</v>
      </c>
    </row>
    <row r="19" ht="87" spans="1:10">
      <c r="A19" s="10">
        <v>17</v>
      </c>
      <c r="B19" s="10" t="s">
        <v>11</v>
      </c>
      <c r="C19" s="96" t="s">
        <v>84</v>
      </c>
      <c r="D19" s="12" t="s">
        <v>85</v>
      </c>
      <c r="E19" s="12" t="s">
        <v>86</v>
      </c>
      <c r="F19" s="12" t="s">
        <v>87</v>
      </c>
      <c r="G19" s="13" t="s">
        <v>88</v>
      </c>
      <c r="H19" s="14" t="s">
        <v>89</v>
      </c>
      <c r="I19" s="15">
        <v>60</v>
      </c>
      <c r="J19" s="16" t="s">
        <v>90</v>
      </c>
    </row>
    <row r="20" ht="30" spans="1:10">
      <c r="A20" s="10">
        <v>18</v>
      </c>
      <c r="B20" s="10" t="s">
        <v>11</v>
      </c>
      <c r="C20" s="96" t="s">
        <v>91</v>
      </c>
      <c r="D20" s="12" t="s">
        <v>92</v>
      </c>
      <c r="E20" s="14"/>
      <c r="F20" s="14"/>
      <c r="G20" s="10" t="s">
        <v>93</v>
      </c>
      <c r="H20" s="14"/>
      <c r="I20" s="15">
        <v>20</v>
      </c>
      <c r="J20" s="16" t="s">
        <v>90</v>
      </c>
    </row>
    <row r="21" ht="30" spans="1:10">
      <c r="A21" s="10">
        <v>19</v>
      </c>
      <c r="B21" s="10" t="s">
        <v>11</v>
      </c>
      <c r="C21" s="11" t="s">
        <v>94</v>
      </c>
      <c r="D21" s="12" t="s">
        <v>95</v>
      </c>
      <c r="E21" s="14"/>
      <c r="F21" s="14"/>
      <c r="G21" s="13" t="s">
        <v>88</v>
      </c>
      <c r="H21" s="14"/>
      <c r="I21" s="15">
        <v>60</v>
      </c>
      <c r="J21" s="16" t="s">
        <v>90</v>
      </c>
    </row>
    <row r="22" ht="42.75" spans="1:10">
      <c r="A22" s="10">
        <v>20</v>
      </c>
      <c r="B22" s="10" t="s">
        <v>11</v>
      </c>
      <c r="C22" s="11" t="s">
        <v>96</v>
      </c>
      <c r="D22" s="12" t="s">
        <v>97</v>
      </c>
      <c r="E22" s="12" t="s">
        <v>98</v>
      </c>
      <c r="F22" s="12" t="s">
        <v>99</v>
      </c>
      <c r="G22" s="13" t="s">
        <v>88</v>
      </c>
      <c r="H22" s="12" t="s">
        <v>100</v>
      </c>
      <c r="I22" s="15">
        <v>76.5207276305822</v>
      </c>
      <c r="J22" s="16" t="s">
        <v>90</v>
      </c>
    </row>
    <row r="23" ht="30" spans="1:10">
      <c r="A23" s="10">
        <v>21</v>
      </c>
      <c r="B23" s="10" t="s">
        <v>11</v>
      </c>
      <c r="C23" s="11" t="s">
        <v>101</v>
      </c>
      <c r="D23" s="12" t="s">
        <v>102</v>
      </c>
      <c r="E23" s="14"/>
      <c r="F23" s="14"/>
      <c r="G23" s="10" t="s">
        <v>93</v>
      </c>
      <c r="H23" s="14"/>
      <c r="I23" s="15">
        <v>26</v>
      </c>
      <c r="J23" s="16" t="s">
        <v>90</v>
      </c>
    </row>
    <row r="24" ht="30" spans="1:10">
      <c r="A24" s="10">
        <v>22</v>
      </c>
      <c r="B24" s="10" t="s">
        <v>11</v>
      </c>
      <c r="C24" s="11" t="s">
        <v>103</v>
      </c>
      <c r="D24" s="12" t="s">
        <v>104</v>
      </c>
      <c r="E24" s="14"/>
      <c r="F24" s="14"/>
      <c r="G24" s="13" t="s">
        <v>88</v>
      </c>
      <c r="H24" s="14"/>
      <c r="I24" s="15">
        <v>77</v>
      </c>
      <c r="J24" s="16" t="s">
        <v>90</v>
      </c>
    </row>
    <row r="25" ht="42.75" spans="1:10">
      <c r="A25" s="10">
        <v>23</v>
      </c>
      <c r="B25" s="10" t="s">
        <v>11</v>
      </c>
      <c r="C25" s="97" t="s">
        <v>105</v>
      </c>
      <c r="D25" s="12" t="s">
        <v>106</v>
      </c>
      <c r="E25" s="12" t="s">
        <v>107</v>
      </c>
      <c r="F25" s="12" t="s">
        <v>108</v>
      </c>
      <c r="G25" s="13" t="s">
        <v>88</v>
      </c>
      <c r="H25" s="12" t="s">
        <v>100</v>
      </c>
      <c r="I25" s="15">
        <v>78.72</v>
      </c>
      <c r="J25" s="16" t="s">
        <v>90</v>
      </c>
    </row>
    <row r="26" ht="30" spans="1:10">
      <c r="A26" s="10">
        <v>24</v>
      </c>
      <c r="B26" s="10" t="s">
        <v>11</v>
      </c>
      <c r="C26" s="11" t="s">
        <v>109</v>
      </c>
      <c r="D26" s="12" t="s">
        <v>110</v>
      </c>
      <c r="E26" s="14"/>
      <c r="F26" s="14"/>
      <c r="G26" s="10" t="s">
        <v>93</v>
      </c>
      <c r="H26" s="14"/>
      <c r="I26" s="15">
        <v>26</v>
      </c>
      <c r="J26" s="16" t="s">
        <v>90</v>
      </c>
    </row>
    <row r="27" ht="30" spans="1:10">
      <c r="A27" s="10">
        <v>25</v>
      </c>
      <c r="B27" s="10" t="s">
        <v>11</v>
      </c>
      <c r="C27" s="11" t="s">
        <v>111</v>
      </c>
      <c r="D27" s="12" t="s">
        <v>112</v>
      </c>
      <c r="E27" s="14"/>
      <c r="F27" s="14"/>
      <c r="G27" s="13" t="s">
        <v>88</v>
      </c>
      <c r="H27" s="14"/>
      <c r="I27" s="15">
        <v>79</v>
      </c>
      <c r="J27" s="16" t="s">
        <v>90</v>
      </c>
    </row>
    <row r="28" ht="45.75" spans="1:10">
      <c r="A28" s="10">
        <v>26</v>
      </c>
      <c r="B28" s="10" t="s">
        <v>11</v>
      </c>
      <c r="C28" s="11" t="s">
        <v>113</v>
      </c>
      <c r="D28" s="12" t="s">
        <v>114</v>
      </c>
      <c r="E28" s="12" t="s">
        <v>115</v>
      </c>
      <c r="F28" s="12" t="s">
        <v>116</v>
      </c>
      <c r="G28" s="13" t="s">
        <v>88</v>
      </c>
      <c r="H28" s="12" t="s">
        <v>100</v>
      </c>
      <c r="I28" s="15">
        <v>84</v>
      </c>
      <c r="J28" s="16" t="s">
        <v>90</v>
      </c>
    </row>
    <row r="29" ht="30" spans="1:10">
      <c r="A29" s="10">
        <v>27</v>
      </c>
      <c r="B29" s="10" t="s">
        <v>11</v>
      </c>
      <c r="C29" s="11" t="s">
        <v>117</v>
      </c>
      <c r="D29" s="12" t="s">
        <v>118</v>
      </c>
      <c r="E29" s="14"/>
      <c r="F29" s="14"/>
      <c r="G29" s="10" t="s">
        <v>93</v>
      </c>
      <c r="H29" s="14"/>
      <c r="I29" s="15">
        <v>28</v>
      </c>
      <c r="J29" s="16" t="s">
        <v>90</v>
      </c>
    </row>
    <row r="30" ht="30" spans="1:10">
      <c r="A30" s="10">
        <v>28</v>
      </c>
      <c r="B30" s="10" t="s">
        <v>11</v>
      </c>
      <c r="C30" s="11" t="s">
        <v>119</v>
      </c>
      <c r="D30" s="12" t="s">
        <v>120</v>
      </c>
      <c r="E30" s="14"/>
      <c r="F30" s="14"/>
      <c r="G30" s="13" t="s">
        <v>88</v>
      </c>
      <c r="H30" s="14"/>
      <c r="I30" s="15">
        <v>84</v>
      </c>
      <c r="J30" s="16" t="s">
        <v>90</v>
      </c>
    </row>
    <row r="31" ht="42.75" spans="1:10">
      <c r="A31" s="10">
        <v>29</v>
      </c>
      <c r="B31" s="10" t="s">
        <v>11</v>
      </c>
      <c r="C31" s="11" t="s">
        <v>121</v>
      </c>
      <c r="D31" s="12" t="s">
        <v>122</v>
      </c>
      <c r="E31" s="12" t="s">
        <v>123</v>
      </c>
      <c r="F31" s="12" t="s">
        <v>124</v>
      </c>
      <c r="G31" s="13" t="s">
        <v>88</v>
      </c>
      <c r="H31" s="12" t="s">
        <v>125</v>
      </c>
      <c r="I31" s="15">
        <v>68.88</v>
      </c>
      <c r="J31" s="16" t="s">
        <v>90</v>
      </c>
    </row>
    <row r="32" ht="30" spans="1:10">
      <c r="A32" s="10">
        <v>30</v>
      </c>
      <c r="B32" s="10" t="s">
        <v>11</v>
      </c>
      <c r="C32" s="11" t="s">
        <v>126</v>
      </c>
      <c r="D32" s="12" t="s">
        <v>127</v>
      </c>
      <c r="E32" s="20"/>
      <c r="F32" s="14"/>
      <c r="G32" s="10" t="s">
        <v>93</v>
      </c>
      <c r="H32" s="14"/>
      <c r="I32" s="15">
        <v>23</v>
      </c>
      <c r="J32" s="16" t="s">
        <v>90</v>
      </c>
    </row>
    <row r="33" ht="30" spans="1:10">
      <c r="A33" s="10">
        <v>31</v>
      </c>
      <c r="B33" s="10" t="s">
        <v>11</v>
      </c>
      <c r="C33" s="11" t="s">
        <v>128</v>
      </c>
      <c r="D33" s="12" t="s">
        <v>129</v>
      </c>
      <c r="E33" s="20"/>
      <c r="F33" s="14"/>
      <c r="G33" s="13" t="s">
        <v>88</v>
      </c>
      <c r="H33" s="14"/>
      <c r="I33" s="15">
        <v>34</v>
      </c>
      <c r="J33" s="16" t="s">
        <v>90</v>
      </c>
    </row>
    <row r="34" ht="30" spans="1:10">
      <c r="A34" s="10">
        <v>32</v>
      </c>
      <c r="B34" s="10" t="s">
        <v>11</v>
      </c>
      <c r="C34" s="11" t="s">
        <v>130</v>
      </c>
      <c r="D34" s="12" t="s">
        <v>131</v>
      </c>
      <c r="E34" s="20"/>
      <c r="F34" s="20"/>
      <c r="G34" s="13" t="s">
        <v>88</v>
      </c>
      <c r="H34" s="14"/>
      <c r="I34" s="15">
        <v>69</v>
      </c>
      <c r="J34" s="16" t="s">
        <v>90</v>
      </c>
    </row>
    <row r="35" ht="42.75" spans="1:10">
      <c r="A35" s="10">
        <v>33</v>
      </c>
      <c r="B35" s="10" t="s">
        <v>11</v>
      </c>
      <c r="C35" s="11" t="s">
        <v>132</v>
      </c>
      <c r="D35" s="12" t="s">
        <v>133</v>
      </c>
      <c r="E35" s="12" t="s">
        <v>134</v>
      </c>
      <c r="F35" s="12" t="s">
        <v>135</v>
      </c>
      <c r="G35" s="13" t="s">
        <v>88</v>
      </c>
      <c r="H35" s="12" t="s">
        <v>100</v>
      </c>
      <c r="I35" s="15">
        <v>68.88</v>
      </c>
      <c r="J35" s="16" t="s">
        <v>90</v>
      </c>
    </row>
    <row r="36" ht="30" spans="1:10">
      <c r="A36" s="10">
        <v>34</v>
      </c>
      <c r="B36" s="10" t="s">
        <v>11</v>
      </c>
      <c r="C36" s="11" t="s">
        <v>136</v>
      </c>
      <c r="D36" s="12" t="s">
        <v>137</v>
      </c>
      <c r="E36" s="20"/>
      <c r="F36" s="14"/>
      <c r="G36" s="10" t="s">
        <v>93</v>
      </c>
      <c r="H36" s="14"/>
      <c r="I36" s="15">
        <v>23</v>
      </c>
      <c r="J36" s="16" t="s">
        <v>90</v>
      </c>
    </row>
    <row r="37" ht="30" spans="1:10">
      <c r="A37" s="10">
        <v>35</v>
      </c>
      <c r="B37" s="10" t="s">
        <v>11</v>
      </c>
      <c r="C37" s="11" t="s">
        <v>138</v>
      </c>
      <c r="D37" s="12" t="s">
        <v>139</v>
      </c>
      <c r="E37" s="20"/>
      <c r="F37" s="20"/>
      <c r="G37" s="13" t="s">
        <v>88</v>
      </c>
      <c r="H37" s="14"/>
      <c r="I37" s="15">
        <v>69</v>
      </c>
      <c r="J37" s="16" t="s">
        <v>90</v>
      </c>
    </row>
    <row r="38" ht="58.5" spans="1:10">
      <c r="A38" s="10">
        <v>36</v>
      </c>
      <c r="B38" s="10" t="s">
        <v>11</v>
      </c>
      <c r="C38" s="11" t="s">
        <v>140</v>
      </c>
      <c r="D38" s="12" t="s">
        <v>141</v>
      </c>
      <c r="E38" s="12" t="s">
        <v>142</v>
      </c>
      <c r="F38" s="12" t="s">
        <v>143</v>
      </c>
      <c r="G38" s="13" t="s">
        <v>88</v>
      </c>
      <c r="H38" s="12" t="s">
        <v>100</v>
      </c>
      <c r="I38" s="15">
        <v>19.68</v>
      </c>
      <c r="J38" s="16" t="s">
        <v>90</v>
      </c>
    </row>
    <row r="39" ht="31.5" spans="1:10">
      <c r="A39" s="10">
        <v>37</v>
      </c>
      <c r="B39" s="10" t="s">
        <v>11</v>
      </c>
      <c r="C39" s="11" t="s">
        <v>144</v>
      </c>
      <c r="D39" s="12" t="s">
        <v>145</v>
      </c>
      <c r="E39" s="20"/>
      <c r="F39" s="14"/>
      <c r="G39" s="10" t="s">
        <v>93</v>
      </c>
      <c r="H39" s="14"/>
      <c r="I39" s="15">
        <v>7</v>
      </c>
      <c r="J39" s="16" t="s">
        <v>90</v>
      </c>
    </row>
    <row r="40" ht="30" spans="1:10">
      <c r="A40" s="10">
        <v>38</v>
      </c>
      <c r="B40" s="10" t="s">
        <v>11</v>
      </c>
      <c r="C40" s="11" t="s">
        <v>146</v>
      </c>
      <c r="D40" s="12" t="s">
        <v>147</v>
      </c>
      <c r="E40" s="20"/>
      <c r="F40" s="20"/>
      <c r="G40" s="13" t="s">
        <v>88</v>
      </c>
      <c r="H40" s="14"/>
      <c r="I40" s="15">
        <v>19.68</v>
      </c>
      <c r="J40" s="16" t="s">
        <v>90</v>
      </c>
    </row>
    <row r="41" ht="85.5" spans="1:10">
      <c r="A41" s="10">
        <v>39</v>
      </c>
      <c r="B41" s="10" t="s">
        <v>11</v>
      </c>
      <c r="C41" s="11" t="s">
        <v>148</v>
      </c>
      <c r="D41" s="12" t="s">
        <v>149</v>
      </c>
      <c r="E41" s="12" t="s">
        <v>150</v>
      </c>
      <c r="F41" s="12" t="s">
        <v>151</v>
      </c>
      <c r="G41" s="13" t="s">
        <v>88</v>
      </c>
      <c r="H41" s="12" t="s">
        <v>100</v>
      </c>
      <c r="I41" s="15">
        <v>68.88</v>
      </c>
      <c r="J41" s="16" t="s">
        <v>90</v>
      </c>
    </row>
    <row r="42" ht="31.5" spans="1:10">
      <c r="A42" s="10">
        <v>40</v>
      </c>
      <c r="B42" s="10" t="s">
        <v>11</v>
      </c>
      <c r="C42" s="11" t="s">
        <v>152</v>
      </c>
      <c r="D42" s="12" t="s">
        <v>153</v>
      </c>
      <c r="E42" s="20"/>
      <c r="F42" s="14"/>
      <c r="G42" s="10" t="s">
        <v>93</v>
      </c>
      <c r="H42" s="14"/>
      <c r="I42" s="15">
        <v>23</v>
      </c>
      <c r="J42" s="16" t="s">
        <v>90</v>
      </c>
    </row>
    <row r="43" ht="30" spans="1:10">
      <c r="A43" s="10">
        <v>41</v>
      </c>
      <c r="B43" s="10" t="s">
        <v>11</v>
      </c>
      <c r="C43" s="11" t="s">
        <v>154</v>
      </c>
      <c r="D43" s="12" t="s">
        <v>155</v>
      </c>
      <c r="E43" s="20"/>
      <c r="F43" s="14"/>
      <c r="G43" s="13" t="s">
        <v>88</v>
      </c>
      <c r="H43" s="14"/>
      <c r="I43" s="15">
        <v>68.88</v>
      </c>
      <c r="J43" s="16" t="s">
        <v>90</v>
      </c>
    </row>
    <row r="44" ht="85.5" spans="1:10">
      <c r="A44" s="10">
        <v>42</v>
      </c>
      <c r="B44" s="10" t="s">
        <v>11</v>
      </c>
      <c r="C44" s="11" t="s">
        <v>156</v>
      </c>
      <c r="D44" s="12" t="s">
        <v>157</v>
      </c>
      <c r="E44" s="12" t="s">
        <v>158</v>
      </c>
      <c r="F44" s="12" t="s">
        <v>151</v>
      </c>
      <c r="G44" s="13" t="s">
        <v>88</v>
      </c>
      <c r="H44" s="12" t="s">
        <v>100</v>
      </c>
      <c r="I44" s="15">
        <v>68.88</v>
      </c>
      <c r="J44" s="16" t="s">
        <v>90</v>
      </c>
    </row>
    <row r="45" ht="31.5" spans="1:10">
      <c r="A45" s="10">
        <v>43</v>
      </c>
      <c r="B45" s="10" t="s">
        <v>11</v>
      </c>
      <c r="C45" s="11" t="s">
        <v>159</v>
      </c>
      <c r="D45" s="12" t="s">
        <v>160</v>
      </c>
      <c r="E45" s="20"/>
      <c r="F45" s="14"/>
      <c r="G45" s="10" t="s">
        <v>93</v>
      </c>
      <c r="H45" s="14"/>
      <c r="I45" s="15">
        <v>23</v>
      </c>
      <c r="J45" s="16" t="s">
        <v>90</v>
      </c>
    </row>
    <row r="46" ht="30" spans="1:10">
      <c r="A46" s="10">
        <v>44</v>
      </c>
      <c r="B46" s="10" t="s">
        <v>11</v>
      </c>
      <c r="C46" s="11" t="s">
        <v>161</v>
      </c>
      <c r="D46" s="12" t="s">
        <v>162</v>
      </c>
      <c r="E46" s="20"/>
      <c r="F46" s="14"/>
      <c r="G46" s="13" t="s">
        <v>88</v>
      </c>
      <c r="H46" s="14"/>
      <c r="I46" s="15">
        <v>68.88</v>
      </c>
      <c r="J46" s="16" t="s">
        <v>90</v>
      </c>
    </row>
    <row r="47" ht="57" spans="1:10">
      <c r="A47" s="10">
        <v>45</v>
      </c>
      <c r="B47" s="10" t="s">
        <v>11</v>
      </c>
      <c r="C47" s="11" t="s">
        <v>163</v>
      </c>
      <c r="D47" s="12" t="s">
        <v>164</v>
      </c>
      <c r="E47" s="12" t="s">
        <v>165</v>
      </c>
      <c r="F47" s="21" t="s">
        <v>151</v>
      </c>
      <c r="G47" s="13" t="s">
        <v>88</v>
      </c>
      <c r="H47" s="12" t="s">
        <v>100</v>
      </c>
      <c r="I47" s="15">
        <v>68.88</v>
      </c>
      <c r="J47" s="16" t="s">
        <v>90</v>
      </c>
    </row>
    <row r="48" ht="44.25" spans="1:10">
      <c r="A48" s="10">
        <v>46</v>
      </c>
      <c r="B48" s="10" t="s">
        <v>11</v>
      </c>
      <c r="C48" s="11" t="s">
        <v>166</v>
      </c>
      <c r="D48" s="12" t="s">
        <v>167</v>
      </c>
      <c r="E48" s="20"/>
      <c r="F48" s="14"/>
      <c r="G48" s="10" t="s">
        <v>93</v>
      </c>
      <c r="H48" s="14"/>
      <c r="I48" s="15">
        <v>23</v>
      </c>
      <c r="J48" s="16" t="s">
        <v>90</v>
      </c>
    </row>
    <row r="49" ht="44.25" spans="1:10">
      <c r="A49" s="10">
        <v>47</v>
      </c>
      <c r="B49" s="10" t="s">
        <v>11</v>
      </c>
      <c r="C49" s="11" t="s">
        <v>168</v>
      </c>
      <c r="D49" s="12" t="s">
        <v>169</v>
      </c>
      <c r="E49" s="20"/>
      <c r="F49" s="20"/>
      <c r="G49" s="13" t="s">
        <v>88</v>
      </c>
      <c r="H49" s="14"/>
      <c r="I49" s="15">
        <v>68.88</v>
      </c>
      <c r="J49" s="16" t="s">
        <v>90</v>
      </c>
    </row>
    <row r="50" ht="57" spans="1:10">
      <c r="A50" s="10">
        <v>48</v>
      </c>
      <c r="B50" s="10" t="s">
        <v>11</v>
      </c>
      <c r="C50" s="11" t="s">
        <v>170</v>
      </c>
      <c r="D50" s="12" t="s">
        <v>171</v>
      </c>
      <c r="E50" s="12" t="s">
        <v>172</v>
      </c>
      <c r="F50" s="12" t="s">
        <v>151</v>
      </c>
      <c r="G50" s="13" t="s">
        <v>88</v>
      </c>
      <c r="H50" s="12" t="s">
        <v>100</v>
      </c>
      <c r="I50" s="15">
        <v>39.36</v>
      </c>
      <c r="J50" s="16" t="s">
        <v>90</v>
      </c>
    </row>
    <row r="51" ht="44.25" spans="1:10">
      <c r="A51" s="10">
        <v>49</v>
      </c>
      <c r="B51" s="10" t="s">
        <v>11</v>
      </c>
      <c r="C51" s="11" t="s">
        <v>173</v>
      </c>
      <c r="D51" s="12" t="s">
        <v>174</v>
      </c>
      <c r="E51" s="20"/>
      <c r="F51" s="14"/>
      <c r="G51" s="10" t="s">
        <v>93</v>
      </c>
      <c r="H51" s="14"/>
      <c r="I51" s="15">
        <v>13</v>
      </c>
      <c r="J51" s="16" t="s">
        <v>90</v>
      </c>
    </row>
    <row r="52" ht="44.25" spans="1:10">
      <c r="A52" s="10">
        <v>50</v>
      </c>
      <c r="B52" s="10" t="s">
        <v>11</v>
      </c>
      <c r="C52" s="11" t="s">
        <v>175</v>
      </c>
      <c r="D52" s="12" t="s">
        <v>176</v>
      </c>
      <c r="E52" s="20"/>
      <c r="F52" s="14"/>
      <c r="G52" s="13" t="s">
        <v>88</v>
      </c>
      <c r="H52" s="14"/>
      <c r="I52" s="15">
        <v>39.36</v>
      </c>
      <c r="J52" s="16" t="s">
        <v>90</v>
      </c>
    </row>
    <row r="53" ht="85.5" spans="1:10">
      <c r="A53" s="10">
        <v>51</v>
      </c>
      <c r="B53" s="10" t="s">
        <v>177</v>
      </c>
      <c r="C53" s="11" t="s">
        <v>178</v>
      </c>
      <c r="D53" s="12" t="s">
        <v>179</v>
      </c>
      <c r="E53" s="12" t="s">
        <v>180</v>
      </c>
      <c r="F53" s="12" t="s">
        <v>181</v>
      </c>
      <c r="G53" s="13" t="s">
        <v>16</v>
      </c>
      <c r="H53" s="12" t="s">
        <v>182</v>
      </c>
      <c r="I53" s="15">
        <v>38</v>
      </c>
      <c r="J53" s="16" t="s">
        <v>90</v>
      </c>
    </row>
    <row r="54" ht="30" spans="1:10">
      <c r="A54" s="10">
        <v>52</v>
      </c>
      <c r="B54" s="10" t="s">
        <v>177</v>
      </c>
      <c r="C54" s="11" t="s">
        <v>183</v>
      </c>
      <c r="D54" s="12" t="s">
        <v>184</v>
      </c>
      <c r="E54" s="20"/>
      <c r="F54" s="14"/>
      <c r="G54" s="13" t="s">
        <v>16</v>
      </c>
      <c r="H54" s="14"/>
      <c r="I54" s="15">
        <v>38</v>
      </c>
      <c r="J54" s="16" t="s">
        <v>90</v>
      </c>
    </row>
    <row r="55" ht="85.5" spans="1:10">
      <c r="A55" s="10">
        <v>53</v>
      </c>
      <c r="B55" s="10" t="s">
        <v>177</v>
      </c>
      <c r="C55" s="96" t="s">
        <v>185</v>
      </c>
      <c r="D55" s="12" t="s">
        <v>186</v>
      </c>
      <c r="E55" s="12" t="s">
        <v>187</v>
      </c>
      <c r="F55" s="12" t="s">
        <v>181</v>
      </c>
      <c r="G55" s="13" t="s">
        <v>16</v>
      </c>
      <c r="H55" s="12" t="s">
        <v>182</v>
      </c>
      <c r="I55" s="15">
        <v>38</v>
      </c>
      <c r="J55" s="16" t="s">
        <v>90</v>
      </c>
    </row>
    <row r="56" ht="30" spans="1:10">
      <c r="A56" s="10">
        <v>54</v>
      </c>
      <c r="B56" s="10" t="s">
        <v>177</v>
      </c>
      <c r="C56" s="11" t="s">
        <v>188</v>
      </c>
      <c r="D56" s="12" t="s">
        <v>189</v>
      </c>
      <c r="E56" s="20"/>
      <c r="F56" s="20"/>
      <c r="G56" s="13" t="s">
        <v>16</v>
      </c>
      <c r="H56" s="14"/>
      <c r="I56" s="15">
        <v>38</v>
      </c>
      <c r="J56" s="16" t="s">
        <v>90</v>
      </c>
    </row>
    <row r="57" ht="102.75" spans="1:10">
      <c r="A57" s="10">
        <v>55</v>
      </c>
      <c r="B57" s="10" t="s">
        <v>177</v>
      </c>
      <c r="C57" s="11" t="s">
        <v>190</v>
      </c>
      <c r="D57" s="12" t="s">
        <v>191</v>
      </c>
      <c r="E57" s="12" t="s">
        <v>192</v>
      </c>
      <c r="F57" s="12" t="s">
        <v>181</v>
      </c>
      <c r="G57" s="13" t="s">
        <v>16</v>
      </c>
      <c r="H57" s="12" t="s">
        <v>182</v>
      </c>
      <c r="I57" s="15">
        <v>38</v>
      </c>
      <c r="J57" s="16" t="s">
        <v>90</v>
      </c>
    </row>
    <row r="58" ht="30" spans="1:10">
      <c r="A58" s="10">
        <v>56</v>
      </c>
      <c r="B58" s="10" t="s">
        <v>177</v>
      </c>
      <c r="C58" s="11" t="s">
        <v>193</v>
      </c>
      <c r="D58" s="12" t="s">
        <v>194</v>
      </c>
      <c r="E58" s="20"/>
      <c r="F58" s="14"/>
      <c r="G58" s="13" t="s">
        <v>16</v>
      </c>
      <c r="H58" s="14"/>
      <c r="I58" s="15">
        <v>38</v>
      </c>
      <c r="J58" s="16" t="s">
        <v>90</v>
      </c>
    </row>
    <row r="59" ht="85.5" spans="1:10">
      <c r="A59" s="10">
        <v>57</v>
      </c>
      <c r="B59" s="10" t="s">
        <v>177</v>
      </c>
      <c r="C59" s="96" t="s">
        <v>195</v>
      </c>
      <c r="D59" s="12" t="s">
        <v>196</v>
      </c>
      <c r="E59" s="12" t="s">
        <v>197</v>
      </c>
      <c r="F59" s="12" t="s">
        <v>198</v>
      </c>
      <c r="G59" s="13" t="s">
        <v>16</v>
      </c>
      <c r="H59" s="12" t="s">
        <v>182</v>
      </c>
      <c r="I59" s="15">
        <v>39.36</v>
      </c>
      <c r="J59" s="16" t="s">
        <v>90</v>
      </c>
    </row>
    <row r="60" ht="30" spans="1:10">
      <c r="A60" s="10">
        <v>58</v>
      </c>
      <c r="B60" s="10" t="s">
        <v>177</v>
      </c>
      <c r="C60" s="11" t="s">
        <v>199</v>
      </c>
      <c r="D60" s="12" t="s">
        <v>200</v>
      </c>
      <c r="E60" s="20"/>
      <c r="F60" s="14"/>
      <c r="G60" s="13" t="s">
        <v>16</v>
      </c>
      <c r="H60" s="14"/>
      <c r="I60" s="15">
        <v>39.36</v>
      </c>
      <c r="J60" s="16" t="s">
        <v>90</v>
      </c>
    </row>
    <row r="61" ht="85.5" spans="1:10">
      <c r="A61" s="10">
        <v>59</v>
      </c>
      <c r="B61" s="10" t="s">
        <v>177</v>
      </c>
      <c r="C61" s="96" t="s">
        <v>201</v>
      </c>
      <c r="D61" s="12" t="s">
        <v>202</v>
      </c>
      <c r="E61" s="12" t="s">
        <v>203</v>
      </c>
      <c r="F61" s="12" t="s">
        <v>181</v>
      </c>
      <c r="G61" s="13" t="s">
        <v>16</v>
      </c>
      <c r="H61" s="12" t="s">
        <v>182</v>
      </c>
      <c r="I61" s="15">
        <v>38</v>
      </c>
      <c r="J61" s="16" t="s">
        <v>90</v>
      </c>
    </row>
    <row r="62" ht="30" spans="1:10">
      <c r="A62" s="10">
        <v>60</v>
      </c>
      <c r="B62" s="10" t="s">
        <v>177</v>
      </c>
      <c r="C62" s="11" t="s">
        <v>204</v>
      </c>
      <c r="D62" s="12" t="s">
        <v>205</v>
      </c>
      <c r="E62" s="14"/>
      <c r="F62" s="14"/>
      <c r="G62" s="13" t="s">
        <v>16</v>
      </c>
      <c r="H62" s="10"/>
      <c r="I62" s="15">
        <v>38</v>
      </c>
      <c r="J62" s="16" t="s">
        <v>90</v>
      </c>
    </row>
    <row r="63" ht="99.75" spans="1:10">
      <c r="A63" s="10">
        <v>61</v>
      </c>
      <c r="B63" s="10" t="s">
        <v>177</v>
      </c>
      <c r="C63" s="11" t="s">
        <v>206</v>
      </c>
      <c r="D63" s="12" t="s">
        <v>207</v>
      </c>
      <c r="E63" s="12" t="s">
        <v>208</v>
      </c>
      <c r="F63" s="12" t="s">
        <v>181</v>
      </c>
      <c r="G63" s="13" t="s">
        <v>16</v>
      </c>
      <c r="H63" s="12" t="s">
        <v>182</v>
      </c>
      <c r="I63" s="15">
        <v>28</v>
      </c>
      <c r="J63" s="16" t="s">
        <v>90</v>
      </c>
    </row>
    <row r="64" ht="30" spans="1:10">
      <c r="A64" s="10">
        <v>62</v>
      </c>
      <c r="B64" s="10" t="s">
        <v>177</v>
      </c>
      <c r="C64" s="11" t="s">
        <v>209</v>
      </c>
      <c r="D64" s="12" t="s">
        <v>210</v>
      </c>
      <c r="E64" s="20"/>
      <c r="F64" s="14"/>
      <c r="G64" s="13" t="s">
        <v>16</v>
      </c>
      <c r="H64" s="14"/>
      <c r="I64" s="15">
        <v>28</v>
      </c>
      <c r="J64" s="16" t="s">
        <v>90</v>
      </c>
    </row>
    <row r="65" ht="42.75" spans="1:12">
      <c r="A65" s="10">
        <v>63</v>
      </c>
      <c r="B65" s="10" t="s">
        <v>211</v>
      </c>
      <c r="C65" s="10" t="s">
        <v>212</v>
      </c>
      <c r="D65" s="12" t="s">
        <v>213</v>
      </c>
      <c r="E65" s="12" t="s">
        <v>214</v>
      </c>
      <c r="F65" s="12" t="s">
        <v>215</v>
      </c>
      <c r="G65" s="13" t="s">
        <v>16</v>
      </c>
      <c r="H65" s="22" t="s">
        <v>216</v>
      </c>
      <c r="I65" s="15">
        <v>30</v>
      </c>
      <c r="J65" s="16" t="s">
        <v>217</v>
      </c>
    </row>
    <row r="66" ht="42.75" spans="1:12">
      <c r="A66" s="10">
        <v>64</v>
      </c>
      <c r="B66" s="10" t="s">
        <v>211</v>
      </c>
      <c r="C66" s="10" t="s">
        <v>218</v>
      </c>
      <c r="D66" s="12" t="s">
        <v>219</v>
      </c>
      <c r="E66" s="12" t="s">
        <v>220</v>
      </c>
      <c r="F66" s="12" t="s">
        <v>221</v>
      </c>
      <c r="G66" s="13" t="s">
        <v>16</v>
      </c>
      <c r="H66" s="22" t="s">
        <v>216</v>
      </c>
      <c r="I66" s="15">
        <v>133</v>
      </c>
      <c r="J66" s="16" t="s">
        <v>217</v>
      </c>
    </row>
    <row r="67" ht="154.5" spans="1:12">
      <c r="A67" s="10">
        <v>65</v>
      </c>
      <c r="B67" s="10" t="s">
        <v>11</v>
      </c>
      <c r="C67" s="10" t="s">
        <v>222</v>
      </c>
      <c r="D67" s="12" t="s">
        <v>223</v>
      </c>
      <c r="E67" s="12" t="s">
        <v>224</v>
      </c>
      <c r="F67" s="12" t="s">
        <v>225</v>
      </c>
      <c r="G67" s="13" t="s">
        <v>16</v>
      </c>
      <c r="H67" s="20" t="s">
        <v>226</v>
      </c>
      <c r="I67" s="15">
        <v>473</v>
      </c>
      <c r="J67" s="16" t="s">
        <v>217</v>
      </c>
    </row>
    <row r="68" ht="47.25" spans="1:12">
      <c r="A68" s="10">
        <v>66</v>
      </c>
      <c r="B68" s="10" t="s">
        <v>11</v>
      </c>
      <c r="C68" s="10" t="s">
        <v>227</v>
      </c>
      <c r="D68" s="12" t="s">
        <v>228</v>
      </c>
      <c r="E68" s="14"/>
      <c r="F68" s="14"/>
      <c r="G68" s="13" t="s">
        <v>16</v>
      </c>
      <c r="H68" s="22" t="s">
        <v>229</v>
      </c>
      <c r="I68" s="23">
        <f>473*0.3</f>
        <v>141.9</v>
      </c>
      <c r="J68" s="16" t="s">
        <v>217</v>
      </c>
    </row>
    <row r="69" ht="47.25" spans="1:12">
      <c r="A69" s="10">
        <v>67</v>
      </c>
      <c r="B69" s="10" t="s">
        <v>11</v>
      </c>
      <c r="C69" s="10" t="s">
        <v>230</v>
      </c>
      <c r="D69" s="12" t="s">
        <v>231</v>
      </c>
      <c r="E69" s="14"/>
      <c r="F69" s="14"/>
      <c r="G69" s="13" t="s">
        <v>16</v>
      </c>
      <c r="H69" s="22" t="s">
        <v>229</v>
      </c>
      <c r="I69" s="24">
        <v>142</v>
      </c>
      <c r="J69" s="16" t="s">
        <v>217</v>
      </c>
    </row>
    <row r="70" ht="47.25" spans="1:12">
      <c r="A70" s="10">
        <v>68</v>
      </c>
      <c r="B70" s="10" t="s">
        <v>11</v>
      </c>
      <c r="C70" s="10" t="s">
        <v>232</v>
      </c>
      <c r="D70" s="12" t="s">
        <v>233</v>
      </c>
      <c r="E70" s="12" t="s">
        <v>234</v>
      </c>
      <c r="F70" s="12" t="s">
        <v>225</v>
      </c>
      <c r="G70" s="13" t="s">
        <v>16</v>
      </c>
      <c r="H70" s="22" t="s">
        <v>229</v>
      </c>
      <c r="I70" s="15">
        <v>639</v>
      </c>
      <c r="J70" s="16" t="s">
        <v>217</v>
      </c>
    </row>
    <row r="71" ht="47.25" spans="1:12">
      <c r="A71" s="10">
        <v>69</v>
      </c>
      <c r="B71" s="10" t="s">
        <v>11</v>
      </c>
      <c r="C71" s="10" t="s">
        <v>235</v>
      </c>
      <c r="D71" s="12" t="s">
        <v>236</v>
      </c>
      <c r="E71" s="14"/>
      <c r="F71" s="14"/>
      <c r="G71" s="13" t="s">
        <v>16</v>
      </c>
      <c r="H71" s="22" t="s">
        <v>229</v>
      </c>
      <c r="I71" s="23">
        <f>639*0.3</f>
        <v>191.7</v>
      </c>
      <c r="J71" s="16" t="s">
        <v>217</v>
      </c>
    </row>
    <row r="72" ht="47.25" spans="1:12">
      <c r="A72" s="10">
        <v>70</v>
      </c>
      <c r="B72" s="10" t="s">
        <v>11</v>
      </c>
      <c r="C72" s="10" t="s">
        <v>237</v>
      </c>
      <c r="D72" s="12" t="s">
        <v>238</v>
      </c>
      <c r="E72" s="14"/>
      <c r="F72" s="14"/>
      <c r="G72" s="13" t="s">
        <v>16</v>
      </c>
      <c r="H72" s="22" t="s">
        <v>229</v>
      </c>
      <c r="I72" s="24">
        <v>192</v>
      </c>
      <c r="J72" s="16" t="s">
        <v>217</v>
      </c>
    </row>
    <row r="73" ht="47.25" spans="1:12">
      <c r="A73" s="10">
        <v>71</v>
      </c>
      <c r="B73" s="10" t="s">
        <v>11</v>
      </c>
      <c r="C73" s="10" t="s">
        <v>239</v>
      </c>
      <c r="D73" s="12" t="s">
        <v>240</v>
      </c>
      <c r="E73" s="14"/>
      <c r="F73" s="14"/>
      <c r="G73" s="13" t="s">
        <v>16</v>
      </c>
      <c r="H73" s="22" t="s">
        <v>229</v>
      </c>
      <c r="I73" s="15">
        <v>131</v>
      </c>
      <c r="J73" s="16" t="s">
        <v>217</v>
      </c>
    </row>
    <row r="74" ht="57" spans="1:12">
      <c r="A74" s="10">
        <v>72</v>
      </c>
      <c r="B74" s="10" t="s">
        <v>211</v>
      </c>
      <c r="C74" s="10" t="s">
        <v>241</v>
      </c>
      <c r="D74" s="12" t="s">
        <v>242</v>
      </c>
      <c r="E74" s="12" t="s">
        <v>243</v>
      </c>
      <c r="F74" s="12" t="s">
        <v>244</v>
      </c>
      <c r="G74" s="13" t="s">
        <v>16</v>
      </c>
      <c r="H74" s="20"/>
      <c r="I74" s="15">
        <v>377</v>
      </c>
      <c r="J74" s="16" t="s">
        <v>217</v>
      </c>
    </row>
    <row r="75" ht="30" spans="1:12">
      <c r="A75" s="10">
        <v>73</v>
      </c>
      <c r="B75" s="10" t="s">
        <v>211</v>
      </c>
      <c r="C75" s="10" t="s">
        <v>245</v>
      </c>
      <c r="D75" s="12" t="s">
        <v>246</v>
      </c>
      <c r="E75" s="14"/>
      <c r="F75" s="14"/>
      <c r="G75" s="13" t="s">
        <v>16</v>
      </c>
      <c r="H75" s="20"/>
      <c r="I75" s="23">
        <f>377*0.3</f>
        <v>113.1</v>
      </c>
      <c r="J75" s="16" t="s">
        <v>217</v>
      </c>
      <c r="K75" s="25"/>
      <c r="L75" s="25"/>
    </row>
    <row r="76" ht="44.25" spans="1:12">
      <c r="A76" s="10">
        <v>74</v>
      </c>
      <c r="B76" s="10" t="s">
        <v>211</v>
      </c>
      <c r="C76" s="10" t="s">
        <v>247</v>
      </c>
      <c r="D76" s="12" t="s">
        <v>248</v>
      </c>
      <c r="E76" s="14"/>
      <c r="F76" s="14"/>
      <c r="G76" s="13" t="s">
        <v>16</v>
      </c>
      <c r="H76" s="20"/>
      <c r="I76" s="26">
        <v>113</v>
      </c>
      <c r="J76" s="16" t="s">
        <v>217</v>
      </c>
    </row>
    <row r="77" ht="85.5" spans="1:12">
      <c r="A77" s="10">
        <v>75</v>
      </c>
      <c r="B77" s="10" t="s">
        <v>211</v>
      </c>
      <c r="C77" s="10" t="s">
        <v>249</v>
      </c>
      <c r="D77" s="12" t="s">
        <v>250</v>
      </c>
      <c r="E77" s="12" t="s">
        <v>251</v>
      </c>
      <c r="F77" s="12" t="s">
        <v>252</v>
      </c>
      <c r="G77" s="13" t="s">
        <v>16</v>
      </c>
      <c r="H77" s="22" t="s">
        <v>229</v>
      </c>
      <c r="I77" s="15">
        <v>1713</v>
      </c>
      <c r="J77" s="16" t="s">
        <v>217</v>
      </c>
    </row>
    <row r="78" ht="47.25" spans="1:12">
      <c r="A78" s="10">
        <v>76</v>
      </c>
      <c r="B78" s="10" t="s">
        <v>211</v>
      </c>
      <c r="C78" s="10" t="s">
        <v>253</v>
      </c>
      <c r="D78" s="12" t="s">
        <v>254</v>
      </c>
      <c r="E78" s="14"/>
      <c r="F78" s="14"/>
      <c r="G78" s="13" t="s">
        <v>16</v>
      </c>
      <c r="H78" s="22" t="s">
        <v>229</v>
      </c>
      <c r="I78" s="23">
        <f>1713*0.3</f>
        <v>513.9</v>
      </c>
      <c r="J78" s="16" t="s">
        <v>217</v>
      </c>
    </row>
    <row r="79" ht="47.25" spans="1:12">
      <c r="A79" s="10">
        <v>77</v>
      </c>
      <c r="B79" s="10" t="s">
        <v>211</v>
      </c>
      <c r="C79" s="10" t="s">
        <v>255</v>
      </c>
      <c r="D79" s="12" t="s">
        <v>256</v>
      </c>
      <c r="E79" s="14"/>
      <c r="F79" s="14"/>
      <c r="G79" s="13" t="s">
        <v>16</v>
      </c>
      <c r="H79" s="22" t="s">
        <v>229</v>
      </c>
      <c r="I79" s="15">
        <v>514</v>
      </c>
      <c r="J79" s="16" t="s">
        <v>217</v>
      </c>
    </row>
    <row r="80" ht="47.25" spans="1:12">
      <c r="A80" s="10">
        <v>78</v>
      </c>
      <c r="B80" s="10" t="s">
        <v>211</v>
      </c>
      <c r="C80" s="10" t="s">
        <v>257</v>
      </c>
      <c r="D80" s="12" t="s">
        <v>258</v>
      </c>
      <c r="E80" s="14"/>
      <c r="F80" s="14"/>
      <c r="G80" s="13" t="s">
        <v>16</v>
      </c>
      <c r="H80" s="22" t="s">
        <v>229</v>
      </c>
      <c r="I80" s="15">
        <v>514</v>
      </c>
      <c r="J80" s="16" t="s">
        <v>217</v>
      </c>
    </row>
    <row r="81" ht="85.5" spans="1:10">
      <c r="A81" s="10">
        <v>79</v>
      </c>
      <c r="B81" s="10" t="s">
        <v>211</v>
      </c>
      <c r="C81" s="10" t="s">
        <v>259</v>
      </c>
      <c r="D81" s="12" t="s">
        <v>260</v>
      </c>
      <c r="E81" s="12" t="s">
        <v>261</v>
      </c>
      <c r="F81" s="12" t="s">
        <v>262</v>
      </c>
      <c r="G81" s="13" t="s">
        <v>16</v>
      </c>
      <c r="H81" s="22" t="s">
        <v>229</v>
      </c>
      <c r="I81" s="15">
        <v>1990</v>
      </c>
      <c r="J81" s="16" t="s">
        <v>217</v>
      </c>
    </row>
    <row r="82" ht="47.25" spans="1:10">
      <c r="A82" s="10">
        <v>80</v>
      </c>
      <c r="B82" s="10" t="s">
        <v>211</v>
      </c>
      <c r="C82" s="10" t="s">
        <v>263</v>
      </c>
      <c r="D82" s="12" t="s">
        <v>264</v>
      </c>
      <c r="E82" s="14"/>
      <c r="F82" s="14"/>
      <c r="G82" s="13" t="s">
        <v>16</v>
      </c>
      <c r="H82" s="22" t="s">
        <v>229</v>
      </c>
      <c r="I82" s="23">
        <f>1990*0.3</f>
        <v>597</v>
      </c>
      <c r="J82" s="16" t="s">
        <v>217</v>
      </c>
    </row>
    <row r="83" ht="47.25" spans="1:10">
      <c r="A83" s="10">
        <v>81</v>
      </c>
      <c r="B83" s="10" t="s">
        <v>211</v>
      </c>
      <c r="C83" s="10" t="s">
        <v>265</v>
      </c>
      <c r="D83" s="12" t="s">
        <v>266</v>
      </c>
      <c r="E83" s="14"/>
      <c r="F83" s="14"/>
      <c r="G83" s="13" t="s">
        <v>16</v>
      </c>
      <c r="H83" s="22" t="s">
        <v>229</v>
      </c>
      <c r="I83" s="15">
        <v>597</v>
      </c>
      <c r="J83" s="16" t="s">
        <v>217</v>
      </c>
    </row>
    <row r="84" ht="47.25" spans="1:10">
      <c r="A84" s="10">
        <v>82</v>
      </c>
      <c r="B84" s="10" t="s">
        <v>211</v>
      </c>
      <c r="C84" s="10" t="s">
        <v>267</v>
      </c>
      <c r="D84" s="12" t="s">
        <v>268</v>
      </c>
      <c r="E84" s="14"/>
      <c r="F84" s="14"/>
      <c r="G84" s="13" t="s">
        <v>16</v>
      </c>
      <c r="H84" s="22" t="s">
        <v>229</v>
      </c>
      <c r="I84" s="24">
        <v>597</v>
      </c>
      <c r="J84" s="16" t="s">
        <v>217</v>
      </c>
    </row>
    <row r="85" ht="57" spans="1:10">
      <c r="A85" s="10">
        <v>83</v>
      </c>
      <c r="B85" s="10" t="s">
        <v>211</v>
      </c>
      <c r="C85" s="10" t="s">
        <v>269</v>
      </c>
      <c r="D85" s="12" t="s">
        <v>270</v>
      </c>
      <c r="E85" s="12" t="s">
        <v>271</v>
      </c>
      <c r="F85" s="12" t="s">
        <v>252</v>
      </c>
      <c r="G85" s="13" t="s">
        <v>16</v>
      </c>
      <c r="H85" s="22" t="s">
        <v>229</v>
      </c>
      <c r="I85" s="26">
        <v>2190</v>
      </c>
      <c r="J85" s="16" t="s">
        <v>217</v>
      </c>
    </row>
    <row r="86" ht="47.25" spans="1:10">
      <c r="A86" s="10">
        <v>84</v>
      </c>
      <c r="B86" s="10" t="s">
        <v>211</v>
      </c>
      <c r="C86" s="10" t="s">
        <v>272</v>
      </c>
      <c r="D86" s="12" t="s">
        <v>273</v>
      </c>
      <c r="E86" s="14"/>
      <c r="F86" s="14"/>
      <c r="G86" s="13" t="s">
        <v>16</v>
      </c>
      <c r="H86" s="22" t="s">
        <v>229</v>
      </c>
      <c r="I86" s="23">
        <f>2190*0.3</f>
        <v>657</v>
      </c>
      <c r="J86" s="16" t="s">
        <v>217</v>
      </c>
    </row>
    <row r="87" ht="47.25" spans="1:10">
      <c r="A87" s="10">
        <v>85</v>
      </c>
      <c r="B87" s="10" t="s">
        <v>211</v>
      </c>
      <c r="C87" s="10" t="s">
        <v>274</v>
      </c>
      <c r="D87" s="12" t="s">
        <v>275</v>
      </c>
      <c r="E87" s="14"/>
      <c r="F87" s="14"/>
      <c r="G87" s="13" t="s">
        <v>16</v>
      </c>
      <c r="H87" s="22" t="s">
        <v>229</v>
      </c>
      <c r="I87" s="26">
        <v>657</v>
      </c>
      <c r="J87" s="16" t="s">
        <v>217</v>
      </c>
    </row>
    <row r="88" ht="57" spans="1:10">
      <c r="A88" s="10">
        <v>86</v>
      </c>
      <c r="B88" s="10" t="s">
        <v>211</v>
      </c>
      <c r="C88" s="10" t="s">
        <v>276</v>
      </c>
      <c r="D88" s="12" t="s">
        <v>277</v>
      </c>
      <c r="E88" s="12" t="s">
        <v>278</v>
      </c>
      <c r="F88" s="12" t="s">
        <v>279</v>
      </c>
      <c r="G88" s="13" t="s">
        <v>16</v>
      </c>
      <c r="H88" s="20"/>
      <c r="I88" s="15">
        <v>133</v>
      </c>
      <c r="J88" s="16" t="s">
        <v>217</v>
      </c>
    </row>
    <row r="89" ht="30" spans="1:10">
      <c r="A89" s="10">
        <v>87</v>
      </c>
      <c r="B89" s="10" t="s">
        <v>211</v>
      </c>
      <c r="C89" s="10" t="s">
        <v>280</v>
      </c>
      <c r="D89" s="12" t="s">
        <v>281</v>
      </c>
      <c r="E89" s="14"/>
      <c r="F89" s="14"/>
      <c r="G89" s="13" t="s">
        <v>16</v>
      </c>
      <c r="H89" s="20"/>
      <c r="I89" s="23">
        <f>133*0.3</f>
        <v>39.9</v>
      </c>
      <c r="J89" s="16" t="s">
        <v>217</v>
      </c>
    </row>
    <row r="90" ht="30" spans="1:10">
      <c r="A90" s="10">
        <v>88</v>
      </c>
      <c r="B90" s="10" t="s">
        <v>211</v>
      </c>
      <c r="C90" s="10" t="s">
        <v>282</v>
      </c>
      <c r="D90" s="12" t="s">
        <v>283</v>
      </c>
      <c r="E90" s="14"/>
      <c r="F90" s="14"/>
      <c r="G90" s="13" t="s">
        <v>16</v>
      </c>
      <c r="H90" s="20"/>
      <c r="I90" s="26">
        <v>40</v>
      </c>
      <c r="J90" s="16" t="s">
        <v>217</v>
      </c>
    </row>
    <row r="91" ht="90" spans="1:10">
      <c r="A91" s="10">
        <v>89</v>
      </c>
      <c r="B91" s="10" t="s">
        <v>11</v>
      </c>
      <c r="C91" s="10" t="s">
        <v>284</v>
      </c>
      <c r="D91" s="12" t="s">
        <v>285</v>
      </c>
      <c r="E91" s="12" t="s">
        <v>286</v>
      </c>
      <c r="F91" s="12" t="s">
        <v>287</v>
      </c>
      <c r="G91" s="13" t="s">
        <v>288</v>
      </c>
      <c r="H91" s="20" t="s">
        <v>289</v>
      </c>
      <c r="I91" s="15">
        <v>110</v>
      </c>
      <c r="J91" s="16" t="s">
        <v>217</v>
      </c>
    </row>
    <row r="92" ht="71.25" spans="1:10">
      <c r="A92" s="10">
        <v>90</v>
      </c>
      <c r="B92" s="11" t="s">
        <v>11</v>
      </c>
      <c r="C92" s="11" t="s">
        <v>290</v>
      </c>
      <c r="D92" s="12" t="s">
        <v>291</v>
      </c>
      <c r="E92" s="22" t="s">
        <v>292</v>
      </c>
      <c r="F92" s="22" t="s">
        <v>293</v>
      </c>
      <c r="G92" s="13" t="s">
        <v>88</v>
      </c>
      <c r="H92" s="22" t="s">
        <v>294</v>
      </c>
      <c r="I92" s="15">
        <v>123</v>
      </c>
      <c r="J92" s="16" t="s">
        <v>295</v>
      </c>
    </row>
    <row r="93" ht="87" spans="1:10">
      <c r="A93" s="10">
        <v>91</v>
      </c>
      <c r="B93" s="10" t="s">
        <v>11</v>
      </c>
      <c r="C93" s="11" t="s">
        <v>296</v>
      </c>
      <c r="D93" s="12" t="s">
        <v>297</v>
      </c>
      <c r="E93" s="22" t="s">
        <v>298</v>
      </c>
      <c r="F93" s="20"/>
      <c r="G93" s="10" t="s">
        <v>93</v>
      </c>
      <c r="H93" s="22" t="s">
        <v>299</v>
      </c>
      <c r="I93" s="15">
        <v>41</v>
      </c>
      <c r="J93" s="16" t="s">
        <v>295</v>
      </c>
    </row>
    <row r="94" ht="71.25" spans="1:10">
      <c r="A94" s="10">
        <v>92</v>
      </c>
      <c r="B94" s="10" t="s">
        <v>11</v>
      </c>
      <c r="C94" s="11" t="s">
        <v>300</v>
      </c>
      <c r="D94" s="12" t="s">
        <v>301</v>
      </c>
      <c r="E94" s="22" t="s">
        <v>302</v>
      </c>
      <c r="F94" s="22" t="s">
        <v>293</v>
      </c>
      <c r="G94" s="13" t="s">
        <v>303</v>
      </c>
      <c r="H94" s="22" t="s">
        <v>304</v>
      </c>
      <c r="I94" s="15">
        <v>400</v>
      </c>
      <c r="J94" s="16" t="s">
        <v>295</v>
      </c>
    </row>
    <row r="95" ht="87" spans="1:10">
      <c r="A95" s="10">
        <v>93</v>
      </c>
      <c r="B95" s="11" t="s">
        <v>11</v>
      </c>
      <c r="C95" s="11" t="s">
        <v>305</v>
      </c>
      <c r="D95" s="12" t="s">
        <v>306</v>
      </c>
      <c r="E95" s="22" t="s">
        <v>307</v>
      </c>
      <c r="F95" s="20"/>
      <c r="G95" s="10" t="s">
        <v>308</v>
      </c>
      <c r="H95" s="22" t="s">
        <v>299</v>
      </c>
      <c r="I95" s="15">
        <v>133</v>
      </c>
      <c r="J95" s="16" t="s">
        <v>295</v>
      </c>
    </row>
    <row r="96" ht="85.5" spans="1:10">
      <c r="A96" s="10">
        <v>94</v>
      </c>
      <c r="B96" s="11" t="s">
        <v>11</v>
      </c>
      <c r="C96" s="11" t="s">
        <v>309</v>
      </c>
      <c r="D96" s="12" t="s">
        <v>310</v>
      </c>
      <c r="E96" s="22" t="s">
        <v>311</v>
      </c>
      <c r="F96" s="22" t="s">
        <v>293</v>
      </c>
      <c r="G96" s="13" t="s">
        <v>303</v>
      </c>
      <c r="H96" s="22" t="s">
        <v>304</v>
      </c>
      <c r="I96" s="15">
        <v>40</v>
      </c>
      <c r="J96" s="16" t="s">
        <v>295</v>
      </c>
    </row>
    <row r="97" ht="101.25" spans="1:10">
      <c r="A97" s="10">
        <v>95</v>
      </c>
      <c r="B97" s="11" t="s">
        <v>11</v>
      </c>
      <c r="C97" s="11" t="s">
        <v>312</v>
      </c>
      <c r="D97" s="12" t="s">
        <v>313</v>
      </c>
      <c r="E97" s="22" t="s">
        <v>314</v>
      </c>
      <c r="F97" s="20"/>
      <c r="G97" s="10" t="s">
        <v>308</v>
      </c>
      <c r="H97" s="22" t="s">
        <v>299</v>
      </c>
      <c r="I97" s="15">
        <v>8</v>
      </c>
      <c r="J97" s="16" t="s">
        <v>295</v>
      </c>
    </row>
    <row r="98" ht="71.25" spans="1:10">
      <c r="A98" s="10">
        <v>96</v>
      </c>
      <c r="B98" s="11" t="s">
        <v>11</v>
      </c>
      <c r="C98" s="11" t="s">
        <v>315</v>
      </c>
      <c r="D98" s="12" t="s">
        <v>316</v>
      </c>
      <c r="E98" s="22" t="s">
        <v>317</v>
      </c>
      <c r="F98" s="22" t="s">
        <v>318</v>
      </c>
      <c r="G98" s="13" t="s">
        <v>16</v>
      </c>
      <c r="H98" s="22" t="s">
        <v>319</v>
      </c>
      <c r="I98" s="15">
        <v>120</v>
      </c>
      <c r="J98" s="16" t="s">
        <v>295</v>
      </c>
    </row>
    <row r="99" ht="57" spans="1:10">
      <c r="A99" s="10">
        <v>97</v>
      </c>
      <c r="B99" s="10" t="s">
        <v>177</v>
      </c>
      <c r="C99" s="11" t="s">
        <v>320</v>
      </c>
      <c r="D99" s="12" t="s">
        <v>321</v>
      </c>
      <c r="E99" s="12" t="s">
        <v>322</v>
      </c>
      <c r="F99" s="12" t="s">
        <v>323</v>
      </c>
      <c r="G99" s="27" t="s">
        <v>16</v>
      </c>
      <c r="H99" s="11"/>
      <c r="I99" s="15">
        <v>47</v>
      </c>
      <c r="J99" s="16" t="s">
        <v>295</v>
      </c>
    </row>
    <row r="100" ht="57" spans="1:10">
      <c r="A100" s="10">
        <v>98</v>
      </c>
      <c r="B100" s="11" t="s">
        <v>11</v>
      </c>
      <c r="C100" s="11" t="s">
        <v>324</v>
      </c>
      <c r="D100" s="12" t="s">
        <v>325</v>
      </c>
      <c r="E100" s="22" t="s">
        <v>326</v>
      </c>
      <c r="F100" s="12" t="s">
        <v>327</v>
      </c>
      <c r="G100" s="13" t="s">
        <v>16</v>
      </c>
      <c r="H100" s="22" t="s">
        <v>328</v>
      </c>
      <c r="I100" s="15">
        <v>280</v>
      </c>
      <c r="J100" s="16" t="s">
        <v>295</v>
      </c>
    </row>
    <row r="101" ht="57" spans="1:10">
      <c r="A101" s="10">
        <v>99</v>
      </c>
      <c r="B101" s="11" t="s">
        <v>11</v>
      </c>
      <c r="C101" s="11" t="s">
        <v>329</v>
      </c>
      <c r="D101" s="12" t="s">
        <v>330</v>
      </c>
      <c r="E101" s="12" t="s">
        <v>331</v>
      </c>
      <c r="F101" s="22" t="s">
        <v>332</v>
      </c>
      <c r="G101" s="13" t="s">
        <v>88</v>
      </c>
      <c r="H101" s="22" t="s">
        <v>333</v>
      </c>
      <c r="I101" s="15">
        <v>72</v>
      </c>
      <c r="J101" s="16" t="s">
        <v>295</v>
      </c>
    </row>
    <row r="102" ht="72.75" spans="1:10">
      <c r="A102" s="10">
        <v>100</v>
      </c>
      <c r="B102" s="10" t="s">
        <v>11</v>
      </c>
      <c r="C102" s="11" t="s">
        <v>334</v>
      </c>
      <c r="D102" s="12" t="s">
        <v>335</v>
      </c>
      <c r="E102" s="12" t="s">
        <v>336</v>
      </c>
      <c r="F102" s="20"/>
      <c r="G102" s="10" t="s">
        <v>93</v>
      </c>
      <c r="H102" s="20"/>
      <c r="I102" s="15">
        <v>24</v>
      </c>
      <c r="J102" s="16" t="s">
        <v>295</v>
      </c>
    </row>
    <row r="103" ht="57" spans="1:10">
      <c r="A103" s="10">
        <v>101</v>
      </c>
      <c r="B103" s="10" t="s">
        <v>11</v>
      </c>
      <c r="C103" s="11" t="s">
        <v>337</v>
      </c>
      <c r="D103" s="12" t="s">
        <v>338</v>
      </c>
      <c r="E103" s="12" t="s">
        <v>339</v>
      </c>
      <c r="F103" s="22" t="s">
        <v>332</v>
      </c>
      <c r="G103" s="13" t="s">
        <v>88</v>
      </c>
      <c r="H103" s="22" t="s">
        <v>340</v>
      </c>
      <c r="I103" s="15">
        <v>99</v>
      </c>
      <c r="J103" s="16" t="s">
        <v>295</v>
      </c>
    </row>
    <row r="104" ht="72.75" spans="1:10">
      <c r="A104" s="10">
        <v>102</v>
      </c>
      <c r="B104" s="11" t="s">
        <v>11</v>
      </c>
      <c r="C104" s="11" t="s">
        <v>341</v>
      </c>
      <c r="D104" s="12" t="s">
        <v>342</v>
      </c>
      <c r="E104" s="22" t="s">
        <v>343</v>
      </c>
      <c r="F104" s="20"/>
      <c r="G104" s="10" t="s">
        <v>93</v>
      </c>
      <c r="H104" s="20"/>
      <c r="I104" s="15">
        <v>33</v>
      </c>
      <c r="J104" s="16" t="s">
        <v>295</v>
      </c>
    </row>
    <row r="105" ht="57" spans="1:10">
      <c r="A105" s="10">
        <v>103</v>
      </c>
      <c r="B105" s="11" t="s">
        <v>11</v>
      </c>
      <c r="C105" s="11" t="s">
        <v>344</v>
      </c>
      <c r="D105" s="12" t="s">
        <v>345</v>
      </c>
      <c r="E105" s="22" t="s">
        <v>346</v>
      </c>
      <c r="F105" s="22" t="s">
        <v>332</v>
      </c>
      <c r="G105" s="13" t="s">
        <v>88</v>
      </c>
      <c r="H105" s="22" t="s">
        <v>340</v>
      </c>
      <c r="I105" s="15">
        <v>25</v>
      </c>
      <c r="J105" s="16" t="s">
        <v>295</v>
      </c>
    </row>
    <row r="106" ht="87" spans="1:10">
      <c r="A106" s="10">
        <v>104</v>
      </c>
      <c r="B106" s="11" t="s">
        <v>11</v>
      </c>
      <c r="C106" s="11" t="s">
        <v>347</v>
      </c>
      <c r="D106" s="12" t="s">
        <v>348</v>
      </c>
      <c r="E106" s="22" t="s">
        <v>349</v>
      </c>
      <c r="F106" s="20"/>
      <c r="G106" s="10" t="s">
        <v>93</v>
      </c>
      <c r="H106" s="20"/>
      <c r="I106" s="15">
        <v>5</v>
      </c>
      <c r="J106" s="16" t="s">
        <v>295</v>
      </c>
    </row>
    <row r="107" ht="104.25" spans="1:10">
      <c r="A107" s="10">
        <v>105</v>
      </c>
      <c r="B107" s="11" t="s">
        <v>11</v>
      </c>
      <c r="C107" s="11" t="s">
        <v>350</v>
      </c>
      <c r="D107" s="12" t="s">
        <v>351</v>
      </c>
      <c r="E107" s="22" t="s">
        <v>352</v>
      </c>
      <c r="F107" s="22" t="s">
        <v>353</v>
      </c>
      <c r="G107" s="13" t="s">
        <v>303</v>
      </c>
      <c r="H107" s="20" t="s">
        <v>354</v>
      </c>
      <c r="I107" s="15">
        <v>4</v>
      </c>
      <c r="J107" s="16" t="s">
        <v>295</v>
      </c>
    </row>
    <row r="108" ht="42.75" spans="1:10">
      <c r="A108" s="10">
        <v>106</v>
      </c>
      <c r="B108" s="10" t="s">
        <v>177</v>
      </c>
      <c r="C108" s="96" t="s">
        <v>355</v>
      </c>
      <c r="D108" s="12" t="s">
        <v>356</v>
      </c>
      <c r="E108" s="12" t="s">
        <v>357</v>
      </c>
      <c r="F108" s="12" t="s">
        <v>358</v>
      </c>
      <c r="G108" s="13" t="s">
        <v>16</v>
      </c>
      <c r="H108" s="14"/>
      <c r="I108" s="28">
        <v>69.825177209511</v>
      </c>
      <c r="J108" s="16" t="s">
        <v>359</v>
      </c>
    </row>
    <row r="109" ht="63" spans="1:10">
      <c r="A109" s="10">
        <v>107</v>
      </c>
      <c r="B109" s="10" t="s">
        <v>177</v>
      </c>
      <c r="C109" s="10" t="s">
        <v>360</v>
      </c>
      <c r="D109" s="12" t="s">
        <v>361</v>
      </c>
      <c r="E109" s="12" t="s">
        <v>362</v>
      </c>
      <c r="F109" s="12" t="s">
        <v>358</v>
      </c>
      <c r="G109" s="13" t="s">
        <v>16</v>
      </c>
      <c r="H109" s="12" t="s">
        <v>363</v>
      </c>
      <c r="I109" s="28">
        <v>7</v>
      </c>
      <c r="J109" s="16" t="s">
        <v>359</v>
      </c>
    </row>
    <row r="110" ht="63" spans="1:10">
      <c r="A110" s="10">
        <v>108</v>
      </c>
      <c r="B110" s="10" t="s">
        <v>177</v>
      </c>
      <c r="C110" s="10" t="s">
        <v>364</v>
      </c>
      <c r="D110" s="12" t="s">
        <v>365</v>
      </c>
      <c r="E110" s="14"/>
      <c r="F110" s="14"/>
      <c r="G110" s="13" t="s">
        <v>16</v>
      </c>
      <c r="H110" s="12" t="s">
        <v>363</v>
      </c>
      <c r="I110" s="28">
        <v>6.78855889536912</v>
      </c>
      <c r="J110" s="16" t="s">
        <v>359</v>
      </c>
    </row>
    <row r="111" ht="42.75" spans="1:10">
      <c r="A111" s="10">
        <v>109</v>
      </c>
      <c r="B111" s="10" t="s">
        <v>177</v>
      </c>
      <c r="C111" s="10" t="s">
        <v>366</v>
      </c>
      <c r="D111" s="12" t="s">
        <v>367</v>
      </c>
      <c r="E111" s="12" t="s">
        <v>368</v>
      </c>
      <c r="F111" s="12" t="s">
        <v>358</v>
      </c>
      <c r="G111" s="13" t="s">
        <v>369</v>
      </c>
      <c r="H111" s="14"/>
      <c r="I111" s="28">
        <v>8.2</v>
      </c>
      <c r="J111" s="16" t="s">
        <v>359</v>
      </c>
    </row>
    <row r="112" ht="42.75" spans="1:10">
      <c r="A112" s="10">
        <v>110</v>
      </c>
      <c r="B112" s="10" t="s">
        <v>177</v>
      </c>
      <c r="C112" s="10" t="s">
        <v>370</v>
      </c>
      <c r="D112" s="12" t="s">
        <v>371</v>
      </c>
      <c r="E112" s="12" t="s">
        <v>372</v>
      </c>
      <c r="F112" s="12" t="s">
        <v>373</v>
      </c>
      <c r="G112" s="13" t="s">
        <v>374</v>
      </c>
      <c r="H112" s="12" t="s">
        <v>375</v>
      </c>
      <c r="I112" s="29">
        <v>67</v>
      </c>
      <c r="J112" s="16" t="s">
        <v>359</v>
      </c>
    </row>
    <row r="113" ht="30" spans="1:10">
      <c r="A113" s="10">
        <v>111</v>
      </c>
      <c r="B113" s="10" t="s">
        <v>177</v>
      </c>
      <c r="C113" s="10" t="s">
        <v>376</v>
      </c>
      <c r="D113" s="12" t="s">
        <v>377</v>
      </c>
      <c r="E113" s="14"/>
      <c r="F113" s="14"/>
      <c r="G113" s="13" t="s">
        <v>374</v>
      </c>
      <c r="H113" s="12" t="s">
        <v>375</v>
      </c>
      <c r="I113" s="28">
        <v>20</v>
      </c>
      <c r="J113" s="16" t="s">
        <v>359</v>
      </c>
    </row>
    <row r="114" ht="30" spans="1:10">
      <c r="A114" s="10">
        <v>112</v>
      </c>
      <c r="B114" s="10" t="s">
        <v>177</v>
      </c>
      <c r="C114" s="96" t="s">
        <v>378</v>
      </c>
      <c r="D114" s="12" t="s">
        <v>379</v>
      </c>
      <c r="E114" s="14"/>
      <c r="F114" s="14"/>
      <c r="G114" s="13" t="s">
        <v>374</v>
      </c>
      <c r="H114" s="12" t="s">
        <v>375</v>
      </c>
      <c r="I114" s="28">
        <v>18</v>
      </c>
      <c r="J114" s="16" t="s">
        <v>359</v>
      </c>
    </row>
    <row r="115" ht="30" spans="1:10">
      <c r="A115" s="10">
        <v>113</v>
      </c>
      <c r="B115" s="10" t="s">
        <v>177</v>
      </c>
      <c r="C115" s="10" t="s">
        <v>380</v>
      </c>
      <c r="D115" s="12" t="s">
        <v>381</v>
      </c>
      <c r="E115" s="14"/>
      <c r="F115" s="14"/>
      <c r="G115" s="13" t="s">
        <v>374</v>
      </c>
      <c r="H115" s="12" t="s">
        <v>375</v>
      </c>
      <c r="I115" s="28">
        <v>21</v>
      </c>
      <c r="J115" s="16" t="s">
        <v>359</v>
      </c>
    </row>
    <row r="116" ht="42.75" spans="1:10">
      <c r="A116" s="10">
        <v>114</v>
      </c>
      <c r="B116" s="10" t="s">
        <v>177</v>
      </c>
      <c r="C116" s="10" t="s">
        <v>382</v>
      </c>
      <c r="D116" s="12" t="s">
        <v>383</v>
      </c>
      <c r="E116" s="12" t="s">
        <v>384</v>
      </c>
      <c r="F116" s="12" t="s">
        <v>385</v>
      </c>
      <c r="G116" s="13" t="s">
        <v>386</v>
      </c>
      <c r="H116" s="12" t="s">
        <v>387</v>
      </c>
      <c r="I116" s="28">
        <v>94</v>
      </c>
      <c r="J116" s="16" t="s">
        <v>359</v>
      </c>
    </row>
    <row r="117" ht="42.75" spans="1:10">
      <c r="A117" s="10">
        <v>115</v>
      </c>
      <c r="B117" s="10" t="s">
        <v>177</v>
      </c>
      <c r="C117" s="10" t="s">
        <v>388</v>
      </c>
      <c r="D117" s="12" t="s">
        <v>389</v>
      </c>
      <c r="E117" s="12" t="s">
        <v>390</v>
      </c>
      <c r="F117" s="12" t="s">
        <v>391</v>
      </c>
      <c r="G117" s="13" t="s">
        <v>369</v>
      </c>
      <c r="H117" s="14"/>
      <c r="I117" s="28">
        <v>35</v>
      </c>
      <c r="J117" s="16" t="s">
        <v>359</v>
      </c>
    </row>
    <row r="118" ht="44.25" spans="1:10">
      <c r="A118" s="10">
        <v>116</v>
      </c>
      <c r="B118" s="10" t="s">
        <v>177</v>
      </c>
      <c r="C118" s="10" t="s">
        <v>392</v>
      </c>
      <c r="D118" s="12" t="s">
        <v>393</v>
      </c>
      <c r="E118" s="14"/>
      <c r="F118" s="14"/>
      <c r="G118" s="13" t="s">
        <v>369</v>
      </c>
      <c r="H118" s="14"/>
      <c r="I118" s="28">
        <v>35</v>
      </c>
      <c r="J118" s="16" t="s">
        <v>359</v>
      </c>
    </row>
    <row r="119" ht="44.25" spans="1:10">
      <c r="A119" s="10">
        <v>117</v>
      </c>
      <c r="B119" s="10" t="s">
        <v>177</v>
      </c>
      <c r="C119" s="10" t="s">
        <v>394</v>
      </c>
      <c r="D119" s="12" t="s">
        <v>395</v>
      </c>
      <c r="E119" s="14"/>
      <c r="F119" s="14"/>
      <c r="G119" s="13" t="s">
        <v>369</v>
      </c>
      <c r="H119" s="14"/>
      <c r="I119" s="28">
        <v>35</v>
      </c>
      <c r="J119" s="16" t="s">
        <v>359</v>
      </c>
    </row>
    <row r="120" ht="42.75" spans="1:10">
      <c r="A120" s="10">
        <v>118</v>
      </c>
      <c r="B120" s="10" t="s">
        <v>177</v>
      </c>
      <c r="C120" s="10" t="s">
        <v>396</v>
      </c>
      <c r="D120" s="12" t="s">
        <v>397</v>
      </c>
      <c r="E120" s="12" t="s">
        <v>398</v>
      </c>
      <c r="F120" s="12" t="s">
        <v>399</v>
      </c>
      <c r="G120" s="13" t="s">
        <v>369</v>
      </c>
      <c r="H120" s="14"/>
      <c r="I120" s="28">
        <v>14</v>
      </c>
      <c r="J120" s="16" t="s">
        <v>359</v>
      </c>
    </row>
    <row r="121" ht="42.75" spans="1:10">
      <c r="A121" s="10">
        <v>119</v>
      </c>
      <c r="B121" s="10" t="s">
        <v>177</v>
      </c>
      <c r="C121" s="10" t="s">
        <v>400</v>
      </c>
      <c r="D121" s="12" t="s">
        <v>401</v>
      </c>
      <c r="E121" s="12" t="s">
        <v>402</v>
      </c>
      <c r="F121" s="12" t="s">
        <v>403</v>
      </c>
      <c r="G121" s="13" t="s">
        <v>369</v>
      </c>
      <c r="H121" s="14"/>
      <c r="I121" s="28">
        <v>5.75</v>
      </c>
      <c r="J121" s="16" t="s">
        <v>359</v>
      </c>
    </row>
    <row r="122" ht="57" spans="1:10">
      <c r="A122" s="10">
        <v>120</v>
      </c>
      <c r="B122" s="10" t="s">
        <v>177</v>
      </c>
      <c r="C122" s="10" t="s">
        <v>404</v>
      </c>
      <c r="D122" s="12" t="s">
        <v>405</v>
      </c>
      <c r="E122" s="12" t="s">
        <v>406</v>
      </c>
      <c r="F122" s="12" t="s">
        <v>407</v>
      </c>
      <c r="G122" s="13" t="s">
        <v>369</v>
      </c>
      <c r="H122" s="14"/>
      <c r="I122" s="28">
        <v>46.5</v>
      </c>
      <c r="J122" s="16" t="s">
        <v>359</v>
      </c>
    </row>
    <row r="123" ht="57" spans="1:10">
      <c r="A123" s="10">
        <v>121</v>
      </c>
      <c r="B123" s="10" t="s">
        <v>177</v>
      </c>
      <c r="C123" s="96" t="s">
        <v>408</v>
      </c>
      <c r="D123" s="12" t="s">
        <v>409</v>
      </c>
      <c r="E123" s="12" t="s">
        <v>410</v>
      </c>
      <c r="F123" s="12" t="s">
        <v>411</v>
      </c>
      <c r="G123" s="13" t="s">
        <v>369</v>
      </c>
      <c r="H123" s="14"/>
      <c r="I123" s="28">
        <v>57.5</v>
      </c>
      <c r="J123" s="16" t="s">
        <v>359</v>
      </c>
    </row>
    <row r="124" ht="42.75" spans="1:10">
      <c r="A124" s="10">
        <v>122</v>
      </c>
      <c r="B124" s="10" t="s">
        <v>177</v>
      </c>
      <c r="C124" s="10" t="s">
        <v>412</v>
      </c>
      <c r="D124" s="12" t="s">
        <v>413</v>
      </c>
      <c r="E124" s="12" t="s">
        <v>414</v>
      </c>
      <c r="F124" s="12" t="s">
        <v>415</v>
      </c>
      <c r="G124" s="13" t="s">
        <v>374</v>
      </c>
      <c r="H124" s="12" t="s">
        <v>416</v>
      </c>
      <c r="I124" s="28">
        <v>66</v>
      </c>
      <c r="J124" s="16" t="s">
        <v>359</v>
      </c>
    </row>
    <row r="125" ht="90" spans="1:10">
      <c r="A125" s="10">
        <v>123</v>
      </c>
      <c r="B125" s="10" t="s">
        <v>177</v>
      </c>
      <c r="C125" s="10" t="s">
        <v>417</v>
      </c>
      <c r="D125" s="12" t="s">
        <v>418</v>
      </c>
      <c r="E125" s="12" t="s">
        <v>419</v>
      </c>
      <c r="F125" s="12" t="s">
        <v>385</v>
      </c>
      <c r="G125" s="13" t="s">
        <v>374</v>
      </c>
      <c r="H125" s="14" t="s">
        <v>420</v>
      </c>
      <c r="I125" s="28">
        <v>196</v>
      </c>
      <c r="J125" s="16" t="s">
        <v>359</v>
      </c>
    </row>
    <row r="126" ht="42.75" spans="1:10">
      <c r="A126" s="10">
        <v>124</v>
      </c>
      <c r="B126" s="10" t="s">
        <v>11</v>
      </c>
      <c r="C126" s="96" t="s">
        <v>421</v>
      </c>
      <c r="D126" s="12" t="s">
        <v>422</v>
      </c>
      <c r="E126" s="12" t="s">
        <v>423</v>
      </c>
      <c r="F126" s="12" t="s">
        <v>424</v>
      </c>
      <c r="G126" s="13" t="s">
        <v>369</v>
      </c>
      <c r="H126" s="14"/>
      <c r="I126" s="28">
        <v>48.5</v>
      </c>
      <c r="J126" s="16" t="s">
        <v>359</v>
      </c>
    </row>
    <row r="127" ht="42.75" spans="1:10">
      <c r="A127" s="10">
        <v>125</v>
      </c>
      <c r="B127" s="10" t="s">
        <v>11</v>
      </c>
      <c r="C127" s="10" t="s">
        <v>425</v>
      </c>
      <c r="D127" s="12" t="s">
        <v>426</v>
      </c>
      <c r="E127" s="12" t="s">
        <v>427</v>
      </c>
      <c r="F127" s="12" t="s">
        <v>428</v>
      </c>
      <c r="G127" s="13" t="s">
        <v>369</v>
      </c>
      <c r="H127" s="14"/>
      <c r="I127" s="28">
        <v>85.28</v>
      </c>
      <c r="J127" s="16" t="s">
        <v>359</v>
      </c>
    </row>
    <row r="128" ht="28.5" spans="1:10">
      <c r="A128" s="10">
        <v>126</v>
      </c>
      <c r="B128" s="10" t="s">
        <v>11</v>
      </c>
      <c r="C128" s="10" t="s">
        <v>429</v>
      </c>
      <c r="D128" s="12" t="s">
        <v>430</v>
      </c>
      <c r="E128" s="12" t="s">
        <v>431</v>
      </c>
      <c r="F128" s="12" t="s">
        <v>432</v>
      </c>
      <c r="G128" s="13" t="s">
        <v>369</v>
      </c>
      <c r="H128" s="14"/>
      <c r="I128" s="30">
        <v>200</v>
      </c>
      <c r="J128" s="16" t="s">
        <v>359</v>
      </c>
    </row>
    <row r="129" ht="101.25" spans="1:10">
      <c r="A129" s="10">
        <v>127</v>
      </c>
      <c r="B129" s="10" t="s">
        <v>11</v>
      </c>
      <c r="C129" s="10" t="s">
        <v>433</v>
      </c>
      <c r="D129" s="12" t="s">
        <v>434</v>
      </c>
      <c r="E129" s="22" t="s">
        <v>435</v>
      </c>
      <c r="F129" s="22" t="s">
        <v>436</v>
      </c>
      <c r="G129" s="13" t="s">
        <v>369</v>
      </c>
      <c r="H129" s="12" t="s">
        <v>437</v>
      </c>
      <c r="I129" s="28">
        <v>113.16</v>
      </c>
      <c r="J129" s="16" t="s">
        <v>359</v>
      </c>
    </row>
    <row r="130" ht="30" spans="1:10">
      <c r="A130" s="10">
        <v>128</v>
      </c>
      <c r="B130" s="10" t="s">
        <v>11</v>
      </c>
      <c r="C130" s="10" t="s">
        <v>438</v>
      </c>
      <c r="D130" s="12" t="s">
        <v>439</v>
      </c>
      <c r="E130" s="14"/>
      <c r="F130" s="20"/>
      <c r="G130" s="10"/>
      <c r="H130" s="14"/>
      <c r="I130" s="30">
        <f>113*0.3</f>
        <v>33.9</v>
      </c>
      <c r="J130" s="16" t="s">
        <v>359</v>
      </c>
    </row>
    <row r="131" ht="42.75" spans="1:10">
      <c r="A131" s="10">
        <v>129</v>
      </c>
      <c r="B131" s="10" t="s">
        <v>211</v>
      </c>
      <c r="C131" s="10" t="s">
        <v>440</v>
      </c>
      <c r="D131" s="12" t="s">
        <v>441</v>
      </c>
      <c r="E131" s="12" t="s">
        <v>442</v>
      </c>
      <c r="F131" s="22" t="s">
        <v>443</v>
      </c>
      <c r="G131" s="13" t="s">
        <v>369</v>
      </c>
      <c r="H131" s="14"/>
      <c r="I131" s="28">
        <v>464</v>
      </c>
      <c r="J131" s="16" t="s">
        <v>359</v>
      </c>
    </row>
    <row r="132" ht="30" spans="1:10">
      <c r="A132" s="10">
        <v>130</v>
      </c>
      <c r="B132" s="10" t="s">
        <v>211</v>
      </c>
      <c r="C132" s="10" t="s">
        <v>444</v>
      </c>
      <c r="D132" s="12" t="s">
        <v>445</v>
      </c>
      <c r="E132" s="14"/>
      <c r="F132" s="31"/>
      <c r="G132" s="13" t="s">
        <v>369</v>
      </c>
      <c r="H132" s="14"/>
      <c r="I132" s="30">
        <f>464*0.3</f>
        <v>139.2</v>
      </c>
      <c r="J132" s="16" t="s">
        <v>359</v>
      </c>
    </row>
    <row r="133" ht="61.5" spans="1:10">
      <c r="A133" s="10">
        <v>131</v>
      </c>
      <c r="B133" s="10" t="s">
        <v>11</v>
      </c>
      <c r="C133" s="10" t="s">
        <v>446</v>
      </c>
      <c r="D133" s="12" t="s">
        <v>447</v>
      </c>
      <c r="E133" s="12" t="s">
        <v>448</v>
      </c>
      <c r="F133" s="32" t="s">
        <v>449</v>
      </c>
      <c r="G133" s="13" t="s">
        <v>369</v>
      </c>
      <c r="H133" s="14" t="s">
        <v>450</v>
      </c>
      <c r="I133" s="28">
        <v>36.9</v>
      </c>
      <c r="J133" s="16" t="s">
        <v>359</v>
      </c>
    </row>
    <row r="134" ht="30" spans="1:10">
      <c r="A134" s="10">
        <v>132</v>
      </c>
      <c r="B134" s="10" t="s">
        <v>11</v>
      </c>
      <c r="C134" s="10" t="s">
        <v>451</v>
      </c>
      <c r="D134" s="12" t="s">
        <v>452</v>
      </c>
      <c r="E134" s="14"/>
      <c r="F134" s="31"/>
      <c r="G134" s="13" t="s">
        <v>369</v>
      </c>
      <c r="H134" s="14"/>
      <c r="I134" s="30">
        <f>37*0.3</f>
        <v>11.1</v>
      </c>
      <c r="J134" s="16" t="s">
        <v>359</v>
      </c>
    </row>
    <row r="135" ht="75.75" spans="1:10">
      <c r="A135" s="10">
        <v>133</v>
      </c>
      <c r="B135" s="10" t="s">
        <v>11</v>
      </c>
      <c r="C135" s="10" t="s">
        <v>453</v>
      </c>
      <c r="D135" s="12" t="s">
        <v>454</v>
      </c>
      <c r="E135" s="12" t="s">
        <v>455</v>
      </c>
      <c r="F135" s="32" t="s">
        <v>449</v>
      </c>
      <c r="G135" s="13" t="s">
        <v>369</v>
      </c>
      <c r="H135" s="14" t="s">
        <v>456</v>
      </c>
      <c r="I135" s="28">
        <v>151.339090143218</v>
      </c>
      <c r="J135" s="16" t="s">
        <v>359</v>
      </c>
    </row>
    <row r="136" ht="30" spans="1:10">
      <c r="A136" s="10">
        <v>134</v>
      </c>
      <c r="B136" s="10" t="s">
        <v>11</v>
      </c>
      <c r="C136" s="10" t="s">
        <v>457</v>
      </c>
      <c r="D136" s="12" t="s">
        <v>458</v>
      </c>
      <c r="E136" s="33"/>
      <c r="F136" s="33"/>
      <c r="G136" s="10"/>
      <c r="H136" s="14"/>
      <c r="I136" s="30">
        <f>151*0.3</f>
        <v>45.3</v>
      </c>
      <c r="J136" s="16" t="s">
        <v>359</v>
      </c>
    </row>
    <row r="137" ht="42.75" spans="1:10">
      <c r="A137" s="10">
        <v>135</v>
      </c>
      <c r="B137" s="10" t="s">
        <v>11</v>
      </c>
      <c r="C137" s="10" t="s">
        <v>459</v>
      </c>
      <c r="D137" s="12" t="s">
        <v>460</v>
      </c>
      <c r="E137" s="34" t="s">
        <v>461</v>
      </c>
      <c r="F137" s="34" t="s">
        <v>462</v>
      </c>
      <c r="G137" s="13" t="s">
        <v>369</v>
      </c>
      <c r="H137" s="14"/>
      <c r="I137" s="28">
        <v>31</v>
      </c>
      <c r="J137" s="16" t="s">
        <v>359</v>
      </c>
    </row>
    <row r="138" ht="30" spans="1:10">
      <c r="A138" s="10">
        <v>136</v>
      </c>
      <c r="B138" s="10" t="s">
        <v>11</v>
      </c>
      <c r="C138" s="10" t="s">
        <v>463</v>
      </c>
      <c r="D138" s="12" t="s">
        <v>464</v>
      </c>
      <c r="E138" s="14"/>
      <c r="F138" s="33"/>
      <c r="G138" s="13" t="s">
        <v>369</v>
      </c>
      <c r="H138" s="14"/>
      <c r="I138" s="30">
        <f>31*0.3</f>
        <v>9.3</v>
      </c>
      <c r="J138" s="16" t="s">
        <v>359</v>
      </c>
    </row>
    <row r="139" ht="28.5" spans="1:10">
      <c r="A139" s="10">
        <v>137</v>
      </c>
      <c r="B139" s="10" t="s">
        <v>11</v>
      </c>
      <c r="C139" s="10" t="s">
        <v>465</v>
      </c>
      <c r="D139" s="12" t="s">
        <v>466</v>
      </c>
      <c r="E139" s="12" t="s">
        <v>467</v>
      </c>
      <c r="F139" s="34" t="s">
        <v>468</v>
      </c>
      <c r="G139" s="13" t="s">
        <v>369</v>
      </c>
      <c r="H139" s="14"/>
      <c r="I139" s="28">
        <v>14</v>
      </c>
      <c r="J139" s="16" t="s">
        <v>359</v>
      </c>
    </row>
    <row r="140" ht="28.5" spans="1:10">
      <c r="A140" s="10">
        <v>138</v>
      </c>
      <c r="B140" s="10" t="s">
        <v>11</v>
      </c>
      <c r="C140" s="10" t="s">
        <v>469</v>
      </c>
      <c r="D140" s="12" t="s">
        <v>470</v>
      </c>
      <c r="E140" s="12" t="s">
        <v>471</v>
      </c>
      <c r="F140" s="12" t="s">
        <v>468</v>
      </c>
      <c r="G140" s="13" t="s">
        <v>369</v>
      </c>
      <c r="H140" s="14"/>
      <c r="I140" s="28">
        <v>23</v>
      </c>
      <c r="J140" s="16" t="s">
        <v>359</v>
      </c>
    </row>
    <row r="141" ht="42.75" spans="1:10">
      <c r="A141" s="10">
        <v>139</v>
      </c>
      <c r="B141" s="10" t="s">
        <v>11</v>
      </c>
      <c r="C141" s="10" t="s">
        <v>472</v>
      </c>
      <c r="D141" s="12" t="s">
        <v>473</v>
      </c>
      <c r="E141" s="12" t="s">
        <v>474</v>
      </c>
      <c r="F141" s="34" t="s">
        <v>475</v>
      </c>
      <c r="G141" s="13" t="s">
        <v>369</v>
      </c>
      <c r="H141" s="14"/>
      <c r="I141" s="28">
        <v>11.48</v>
      </c>
      <c r="J141" s="16" t="s">
        <v>359</v>
      </c>
    </row>
    <row r="142" ht="28.5" spans="1:10">
      <c r="A142" s="10">
        <v>140</v>
      </c>
      <c r="B142" s="10" t="s">
        <v>11</v>
      </c>
      <c r="C142" s="96" t="s">
        <v>476</v>
      </c>
      <c r="D142" s="12" t="s">
        <v>477</v>
      </c>
      <c r="E142" s="12" t="s">
        <v>478</v>
      </c>
      <c r="F142" s="12" t="s">
        <v>479</v>
      </c>
      <c r="G142" s="13" t="s">
        <v>369</v>
      </c>
      <c r="H142" s="14"/>
      <c r="I142" s="28">
        <v>82</v>
      </c>
      <c r="J142" s="16" t="s">
        <v>359</v>
      </c>
    </row>
    <row r="143" ht="42.75" spans="1:10">
      <c r="A143" s="10">
        <v>141</v>
      </c>
      <c r="B143" s="10" t="s">
        <v>11</v>
      </c>
      <c r="C143" s="96" t="s">
        <v>480</v>
      </c>
      <c r="D143" s="12" t="s">
        <v>481</v>
      </c>
      <c r="E143" s="12" t="s">
        <v>482</v>
      </c>
      <c r="F143" s="12" t="s">
        <v>483</v>
      </c>
      <c r="G143" s="13" t="s">
        <v>16</v>
      </c>
      <c r="H143" s="14"/>
      <c r="I143" s="28">
        <v>49.6078431372549</v>
      </c>
      <c r="J143" s="16" t="s">
        <v>359</v>
      </c>
    </row>
    <row r="144" ht="45.75" spans="1:10">
      <c r="A144" s="10">
        <v>142</v>
      </c>
      <c r="B144" s="10" t="s">
        <v>211</v>
      </c>
      <c r="C144" s="96" t="s">
        <v>484</v>
      </c>
      <c r="D144" s="35" t="s">
        <v>485</v>
      </c>
      <c r="E144" s="22" t="s">
        <v>486</v>
      </c>
      <c r="F144" s="22" t="s">
        <v>487</v>
      </c>
      <c r="G144" s="13" t="s">
        <v>369</v>
      </c>
      <c r="H144" s="36" t="s">
        <v>488</v>
      </c>
      <c r="I144" s="37">
        <v>465.76</v>
      </c>
      <c r="J144" s="16" t="s">
        <v>359</v>
      </c>
    </row>
    <row r="145" ht="30" spans="1:10">
      <c r="A145" s="10">
        <v>143</v>
      </c>
      <c r="B145" s="10" t="s">
        <v>211</v>
      </c>
      <c r="C145" s="10" t="s">
        <v>489</v>
      </c>
      <c r="D145" s="12" t="s">
        <v>490</v>
      </c>
      <c r="E145" s="14"/>
      <c r="F145" s="14"/>
      <c r="G145" s="13" t="s">
        <v>369</v>
      </c>
      <c r="H145" s="14"/>
      <c r="I145" s="30">
        <f>466*0.3</f>
        <v>139.8</v>
      </c>
      <c r="J145" s="16" t="s">
        <v>359</v>
      </c>
    </row>
    <row r="146" ht="42.75" spans="1:10">
      <c r="A146" s="10">
        <v>144</v>
      </c>
      <c r="B146" s="10" t="s">
        <v>211</v>
      </c>
      <c r="C146" s="10" t="s">
        <v>491</v>
      </c>
      <c r="D146" s="12" t="s">
        <v>492</v>
      </c>
      <c r="E146" s="12" t="s">
        <v>493</v>
      </c>
      <c r="F146" s="12" t="s">
        <v>494</v>
      </c>
      <c r="G146" s="13" t="s">
        <v>369</v>
      </c>
      <c r="H146" s="14"/>
      <c r="I146" s="28">
        <v>383.76</v>
      </c>
      <c r="J146" s="16" t="s">
        <v>359</v>
      </c>
    </row>
    <row r="147" ht="30" spans="1:10">
      <c r="A147" s="10">
        <v>145</v>
      </c>
      <c r="B147" s="10" t="s">
        <v>211</v>
      </c>
      <c r="C147" s="10" t="s">
        <v>495</v>
      </c>
      <c r="D147" s="12" t="s">
        <v>496</v>
      </c>
      <c r="E147" s="14"/>
      <c r="F147" s="14"/>
      <c r="G147" s="13" t="s">
        <v>369</v>
      </c>
      <c r="H147" s="14"/>
      <c r="I147" s="30">
        <f>384*0.3</f>
        <v>115.2</v>
      </c>
      <c r="J147" s="16" t="s">
        <v>359</v>
      </c>
    </row>
    <row r="148" ht="42.75" spans="1:10">
      <c r="A148" s="10">
        <v>146</v>
      </c>
      <c r="B148" s="10" t="s">
        <v>211</v>
      </c>
      <c r="C148" s="10" t="s">
        <v>497</v>
      </c>
      <c r="D148" s="12" t="s">
        <v>498</v>
      </c>
      <c r="E148" s="12" t="s">
        <v>499</v>
      </c>
      <c r="F148" s="12" t="s">
        <v>500</v>
      </c>
      <c r="G148" s="13" t="s">
        <v>369</v>
      </c>
      <c r="H148" s="14"/>
      <c r="I148" s="28">
        <v>1918.8</v>
      </c>
      <c r="J148" s="16" t="s">
        <v>359</v>
      </c>
    </row>
    <row r="149" ht="15.75" spans="1:10">
      <c r="A149" s="10">
        <v>147</v>
      </c>
      <c r="B149" s="10" t="s">
        <v>211</v>
      </c>
      <c r="C149" s="10" t="s">
        <v>501</v>
      </c>
      <c r="D149" s="12" t="s">
        <v>502</v>
      </c>
      <c r="E149" s="14"/>
      <c r="F149" s="14"/>
      <c r="G149" s="13" t="s">
        <v>369</v>
      </c>
      <c r="H149" s="14"/>
      <c r="I149" s="23">
        <f>1919*0.3</f>
        <v>575.7</v>
      </c>
      <c r="J149" s="16" t="s">
        <v>359</v>
      </c>
    </row>
    <row r="150" ht="42.75" spans="1:10">
      <c r="A150" s="10">
        <v>148</v>
      </c>
      <c r="B150" s="10" t="s">
        <v>211</v>
      </c>
      <c r="C150" s="10" t="s">
        <v>503</v>
      </c>
      <c r="D150" s="12" t="s">
        <v>504</v>
      </c>
      <c r="E150" s="12" t="s">
        <v>505</v>
      </c>
      <c r="F150" s="12" t="s">
        <v>506</v>
      </c>
      <c r="G150" s="13" t="s">
        <v>369</v>
      </c>
      <c r="H150" s="14"/>
      <c r="I150" s="29">
        <v>1100</v>
      </c>
      <c r="J150" s="16" t="s">
        <v>359</v>
      </c>
    </row>
    <row r="151" ht="15.75" spans="1:10">
      <c r="A151" s="10">
        <v>149</v>
      </c>
      <c r="B151" s="10" t="s">
        <v>211</v>
      </c>
      <c r="C151" s="10" t="s">
        <v>507</v>
      </c>
      <c r="D151" s="12" t="s">
        <v>508</v>
      </c>
      <c r="E151" s="14"/>
      <c r="F151" s="14"/>
      <c r="G151" s="13" t="s">
        <v>369</v>
      </c>
      <c r="H151" s="14"/>
      <c r="I151" s="30">
        <f>1100*0.3</f>
        <v>330</v>
      </c>
      <c r="J151" s="16" t="s">
        <v>359</v>
      </c>
    </row>
    <row r="152" ht="42.75" spans="1:10">
      <c r="A152" s="10">
        <v>150</v>
      </c>
      <c r="B152" s="10" t="s">
        <v>211</v>
      </c>
      <c r="C152" s="10" t="s">
        <v>509</v>
      </c>
      <c r="D152" s="12" t="s">
        <v>510</v>
      </c>
      <c r="E152" s="12" t="s">
        <v>511</v>
      </c>
      <c r="F152" s="12" t="s">
        <v>512</v>
      </c>
      <c r="G152" s="13" t="s">
        <v>369</v>
      </c>
      <c r="H152" s="14"/>
      <c r="I152" s="28">
        <v>1535.04</v>
      </c>
      <c r="J152" s="16" t="s">
        <v>359</v>
      </c>
    </row>
    <row r="153" ht="30" spans="1:10">
      <c r="A153" s="10">
        <v>151</v>
      </c>
      <c r="B153" s="10" t="s">
        <v>211</v>
      </c>
      <c r="C153" s="10" t="s">
        <v>513</v>
      </c>
      <c r="D153" s="12" t="s">
        <v>514</v>
      </c>
      <c r="E153" s="14"/>
      <c r="F153" s="14"/>
      <c r="G153" s="13" t="s">
        <v>369</v>
      </c>
      <c r="H153" s="14"/>
      <c r="I153" s="30">
        <f>1535*0.3</f>
        <v>460.5</v>
      </c>
      <c r="J153" s="16" t="s">
        <v>359</v>
      </c>
    </row>
    <row r="154" ht="42.75" spans="1:10">
      <c r="A154" s="10">
        <v>152</v>
      </c>
      <c r="B154" s="10" t="s">
        <v>211</v>
      </c>
      <c r="C154" s="10" t="s">
        <v>515</v>
      </c>
      <c r="D154" s="12" t="s">
        <v>516</v>
      </c>
      <c r="E154" s="12" t="s">
        <v>517</v>
      </c>
      <c r="F154" s="12" t="s">
        <v>512</v>
      </c>
      <c r="G154" s="13" t="s">
        <v>369</v>
      </c>
      <c r="H154" s="14"/>
      <c r="I154" s="28">
        <v>1918.8</v>
      </c>
      <c r="J154" s="16" t="s">
        <v>359</v>
      </c>
    </row>
    <row r="155" ht="30" spans="1:10">
      <c r="A155" s="10">
        <v>153</v>
      </c>
      <c r="B155" s="10" t="s">
        <v>211</v>
      </c>
      <c r="C155" s="10" t="s">
        <v>518</v>
      </c>
      <c r="D155" s="12" t="s">
        <v>519</v>
      </c>
      <c r="E155" s="14"/>
      <c r="F155" s="14"/>
      <c r="G155" s="13" t="s">
        <v>369</v>
      </c>
      <c r="H155" s="14"/>
      <c r="I155" s="30">
        <f>1919*0.3</f>
        <v>575.7</v>
      </c>
      <c r="J155" s="16" t="s">
        <v>359</v>
      </c>
    </row>
    <row r="156" ht="42.75" spans="1:10">
      <c r="A156" s="10">
        <v>154</v>
      </c>
      <c r="B156" s="10" t="s">
        <v>211</v>
      </c>
      <c r="C156" s="10" t="s">
        <v>520</v>
      </c>
      <c r="D156" s="12" t="s">
        <v>521</v>
      </c>
      <c r="E156" s="12" t="s">
        <v>522</v>
      </c>
      <c r="F156" s="12" t="s">
        <v>523</v>
      </c>
      <c r="G156" s="13" t="s">
        <v>369</v>
      </c>
      <c r="H156" s="14"/>
      <c r="I156" s="28">
        <v>1279.2</v>
      </c>
      <c r="J156" s="16" t="s">
        <v>359</v>
      </c>
    </row>
    <row r="157" ht="30" spans="1:10">
      <c r="A157" s="10">
        <v>155</v>
      </c>
      <c r="B157" s="10" t="s">
        <v>211</v>
      </c>
      <c r="C157" s="10" t="s">
        <v>524</v>
      </c>
      <c r="D157" s="12" t="s">
        <v>525</v>
      </c>
      <c r="E157" s="14"/>
      <c r="F157" s="14"/>
      <c r="G157" s="13" t="s">
        <v>369</v>
      </c>
      <c r="H157" s="14"/>
      <c r="I157" s="30">
        <f>1279*0.3</f>
        <v>383.7</v>
      </c>
      <c r="J157" s="16" t="s">
        <v>359</v>
      </c>
    </row>
    <row r="158" ht="42.75" spans="1:10">
      <c r="A158" s="10">
        <v>156</v>
      </c>
      <c r="B158" s="10" t="s">
        <v>211</v>
      </c>
      <c r="C158" s="10" t="s">
        <v>526</v>
      </c>
      <c r="D158" s="12" t="s">
        <v>527</v>
      </c>
      <c r="E158" s="12" t="s">
        <v>528</v>
      </c>
      <c r="F158" s="12" t="s">
        <v>529</v>
      </c>
      <c r="G158" s="13" t="s">
        <v>530</v>
      </c>
      <c r="H158" s="14"/>
      <c r="I158" s="28">
        <v>447.72</v>
      </c>
      <c r="J158" s="16" t="s">
        <v>359</v>
      </c>
    </row>
    <row r="159" ht="30" spans="1:10">
      <c r="A159" s="10">
        <v>157</v>
      </c>
      <c r="B159" s="10" t="s">
        <v>211</v>
      </c>
      <c r="C159" s="10" t="s">
        <v>531</v>
      </c>
      <c r="D159" s="12" t="s">
        <v>532</v>
      </c>
      <c r="E159" s="14"/>
      <c r="F159" s="14"/>
      <c r="G159" s="13" t="s">
        <v>530</v>
      </c>
      <c r="H159" s="14"/>
      <c r="I159" s="23">
        <f>448*0.3</f>
        <v>134.4</v>
      </c>
      <c r="J159" s="16" t="s">
        <v>359</v>
      </c>
    </row>
    <row r="160" ht="42.75" spans="1:10">
      <c r="A160" s="10">
        <v>158</v>
      </c>
      <c r="B160" s="10" t="s">
        <v>211</v>
      </c>
      <c r="C160" s="96" t="s">
        <v>533</v>
      </c>
      <c r="D160" s="12" t="s">
        <v>534</v>
      </c>
      <c r="E160" s="12" t="s">
        <v>535</v>
      </c>
      <c r="F160" s="12" t="s">
        <v>494</v>
      </c>
      <c r="G160" s="13" t="s">
        <v>369</v>
      </c>
      <c r="H160" s="14"/>
      <c r="I160" s="29">
        <v>1279.2</v>
      </c>
      <c r="J160" s="16" t="s">
        <v>359</v>
      </c>
    </row>
    <row r="161" ht="30" spans="1:10">
      <c r="A161" s="10">
        <v>159</v>
      </c>
      <c r="B161" s="10" t="s">
        <v>211</v>
      </c>
      <c r="C161" s="96" t="s">
        <v>536</v>
      </c>
      <c r="D161" s="12" t="s">
        <v>537</v>
      </c>
      <c r="E161" s="14"/>
      <c r="F161" s="14"/>
      <c r="G161" s="13" t="s">
        <v>369</v>
      </c>
      <c r="H161" s="14"/>
      <c r="I161" s="30">
        <f>1279*0.3</f>
        <v>383.7</v>
      </c>
      <c r="J161" s="16" t="s">
        <v>359</v>
      </c>
    </row>
    <row r="162" ht="42.75" spans="1:10">
      <c r="A162" s="10">
        <v>160</v>
      </c>
      <c r="B162" s="10" t="s">
        <v>211</v>
      </c>
      <c r="C162" s="10" t="s">
        <v>538</v>
      </c>
      <c r="D162" s="12" t="s">
        <v>539</v>
      </c>
      <c r="E162" s="12" t="s">
        <v>540</v>
      </c>
      <c r="F162" s="12" t="s">
        <v>541</v>
      </c>
      <c r="G162" s="13" t="s">
        <v>369</v>
      </c>
      <c r="H162" s="14"/>
      <c r="I162" s="28">
        <v>451</v>
      </c>
      <c r="J162" s="16" t="s">
        <v>359</v>
      </c>
    </row>
    <row r="163" ht="30" spans="1:10">
      <c r="A163" s="10">
        <v>161</v>
      </c>
      <c r="B163" s="10" t="s">
        <v>211</v>
      </c>
      <c r="C163" s="10" t="s">
        <v>542</v>
      </c>
      <c r="D163" s="12" t="s">
        <v>543</v>
      </c>
      <c r="E163" s="14"/>
      <c r="F163" s="14"/>
      <c r="G163" s="13" t="s">
        <v>369</v>
      </c>
      <c r="H163" s="14"/>
      <c r="I163" s="30">
        <f>451*0.3</f>
        <v>135.3</v>
      </c>
      <c r="J163" s="16" t="s">
        <v>359</v>
      </c>
    </row>
    <row r="164" ht="42.75" spans="1:10">
      <c r="A164" s="10">
        <v>162</v>
      </c>
      <c r="B164" s="10" t="s">
        <v>211</v>
      </c>
      <c r="C164" s="10" t="s">
        <v>544</v>
      </c>
      <c r="D164" s="12" t="s">
        <v>545</v>
      </c>
      <c r="E164" s="12" t="s">
        <v>546</v>
      </c>
      <c r="F164" s="12" t="s">
        <v>547</v>
      </c>
      <c r="G164" s="13" t="s">
        <v>369</v>
      </c>
      <c r="H164" s="14"/>
      <c r="I164" s="28">
        <v>1471.08</v>
      </c>
      <c r="J164" s="16" t="s">
        <v>359</v>
      </c>
    </row>
    <row r="165" ht="30" spans="1:10">
      <c r="A165" s="10">
        <v>163</v>
      </c>
      <c r="B165" s="10" t="s">
        <v>211</v>
      </c>
      <c r="C165" s="10" t="s">
        <v>548</v>
      </c>
      <c r="D165" s="12" t="s">
        <v>549</v>
      </c>
      <c r="E165" s="14"/>
      <c r="F165" s="14"/>
      <c r="G165" s="13" t="s">
        <v>369</v>
      </c>
      <c r="H165" s="14"/>
      <c r="I165" s="30">
        <f>1471*0.3</f>
        <v>441.3</v>
      </c>
      <c r="J165" s="16" t="s">
        <v>359</v>
      </c>
    </row>
    <row r="166" ht="42.75" spans="1:10">
      <c r="A166" s="10">
        <v>164</v>
      </c>
      <c r="B166" s="10" t="s">
        <v>211</v>
      </c>
      <c r="C166" s="10" t="s">
        <v>550</v>
      </c>
      <c r="D166" s="12" t="s">
        <v>551</v>
      </c>
      <c r="E166" s="12" t="s">
        <v>552</v>
      </c>
      <c r="F166" s="12" t="s">
        <v>553</v>
      </c>
      <c r="G166" s="13" t="s">
        <v>369</v>
      </c>
      <c r="H166" s="14"/>
      <c r="I166" s="28">
        <v>1560</v>
      </c>
      <c r="J166" s="16" t="s">
        <v>359</v>
      </c>
    </row>
    <row r="167" ht="30" spans="1:10">
      <c r="A167" s="10">
        <v>165</v>
      </c>
      <c r="B167" s="10" t="s">
        <v>211</v>
      </c>
      <c r="C167" s="10" t="s">
        <v>554</v>
      </c>
      <c r="D167" s="12" t="s">
        <v>555</v>
      </c>
      <c r="E167" s="14"/>
      <c r="F167" s="14"/>
      <c r="G167" s="13" t="s">
        <v>369</v>
      </c>
      <c r="H167" s="20"/>
      <c r="I167" s="30">
        <f>1560*0.3</f>
        <v>468</v>
      </c>
      <c r="J167" s="16" t="s">
        <v>359</v>
      </c>
    </row>
    <row r="168" ht="42.75" spans="1:10">
      <c r="A168" s="10">
        <v>166</v>
      </c>
      <c r="B168" s="10" t="s">
        <v>211</v>
      </c>
      <c r="C168" s="10" t="s">
        <v>556</v>
      </c>
      <c r="D168" s="12" t="s">
        <v>557</v>
      </c>
      <c r="E168" s="12" t="s">
        <v>558</v>
      </c>
      <c r="F168" s="12" t="s">
        <v>559</v>
      </c>
      <c r="G168" s="13" t="s">
        <v>369</v>
      </c>
      <c r="H168" s="20"/>
      <c r="I168" s="28">
        <v>409.18</v>
      </c>
      <c r="J168" s="16" t="s">
        <v>359</v>
      </c>
    </row>
    <row r="169" ht="15.75" spans="1:10">
      <c r="A169" s="10">
        <v>167</v>
      </c>
      <c r="B169" s="10" t="s">
        <v>211</v>
      </c>
      <c r="C169" s="10" t="s">
        <v>560</v>
      </c>
      <c r="D169" s="12" t="s">
        <v>561</v>
      </c>
      <c r="E169" s="14"/>
      <c r="F169" s="14"/>
      <c r="G169" s="13" t="s">
        <v>369</v>
      </c>
      <c r="H169" s="14"/>
      <c r="I169" s="30">
        <f>409*0.3</f>
        <v>122.7</v>
      </c>
      <c r="J169" s="16" t="s">
        <v>359</v>
      </c>
    </row>
    <row r="170" ht="42.75" spans="1:10">
      <c r="A170" s="10">
        <v>168</v>
      </c>
      <c r="B170" s="10" t="s">
        <v>211</v>
      </c>
      <c r="C170" s="10" t="s">
        <v>562</v>
      </c>
      <c r="D170" s="12" t="s">
        <v>563</v>
      </c>
      <c r="E170" s="12" t="s">
        <v>564</v>
      </c>
      <c r="F170" s="12" t="s">
        <v>565</v>
      </c>
      <c r="G170" s="13" t="s">
        <v>369</v>
      </c>
      <c r="H170" s="14"/>
      <c r="I170" s="28">
        <v>1279.2</v>
      </c>
      <c r="J170" s="16" t="s">
        <v>359</v>
      </c>
    </row>
    <row r="171" ht="15.75" spans="1:10">
      <c r="A171" s="10">
        <v>169</v>
      </c>
      <c r="B171" s="10" t="s">
        <v>211</v>
      </c>
      <c r="C171" s="10" t="s">
        <v>566</v>
      </c>
      <c r="D171" s="12" t="s">
        <v>567</v>
      </c>
      <c r="E171" s="14"/>
      <c r="F171" s="14"/>
      <c r="G171" s="13" t="s">
        <v>369</v>
      </c>
      <c r="H171" s="20"/>
      <c r="I171" s="30">
        <f>1279*0.3</f>
        <v>383.7</v>
      </c>
      <c r="J171" s="16" t="s">
        <v>359</v>
      </c>
    </row>
    <row r="172" ht="42.75" spans="1:10">
      <c r="A172" s="10">
        <v>170</v>
      </c>
      <c r="B172" s="10" t="s">
        <v>211</v>
      </c>
      <c r="C172" s="10" t="s">
        <v>568</v>
      </c>
      <c r="D172" s="12" t="s">
        <v>569</v>
      </c>
      <c r="E172" s="12" t="s">
        <v>570</v>
      </c>
      <c r="F172" s="12" t="s">
        <v>571</v>
      </c>
      <c r="G172" s="13" t="s">
        <v>369</v>
      </c>
      <c r="H172" s="22" t="s">
        <v>572</v>
      </c>
      <c r="I172" s="28">
        <v>806.06</v>
      </c>
      <c r="J172" s="16" t="s">
        <v>359</v>
      </c>
    </row>
    <row r="173" ht="30" spans="1:10">
      <c r="A173" s="10">
        <v>171</v>
      </c>
      <c r="B173" s="10" t="s">
        <v>211</v>
      </c>
      <c r="C173" s="10" t="s">
        <v>573</v>
      </c>
      <c r="D173" s="12" t="s">
        <v>574</v>
      </c>
      <c r="E173" s="14"/>
      <c r="F173" s="14"/>
      <c r="G173" s="13" t="s">
        <v>369</v>
      </c>
      <c r="H173" s="20"/>
      <c r="I173" s="23">
        <f>806*0.3</f>
        <v>241.8</v>
      </c>
      <c r="J173" s="16" t="s">
        <v>359</v>
      </c>
    </row>
    <row r="174" ht="45.75" spans="1:10">
      <c r="A174" s="10">
        <v>172</v>
      </c>
      <c r="B174" s="10" t="s">
        <v>211</v>
      </c>
      <c r="C174" s="10" t="s">
        <v>575</v>
      </c>
      <c r="D174" s="12" t="s">
        <v>576</v>
      </c>
      <c r="E174" s="12" t="s">
        <v>577</v>
      </c>
      <c r="F174" s="12" t="s">
        <v>578</v>
      </c>
      <c r="G174" s="13" t="s">
        <v>369</v>
      </c>
      <c r="H174" s="22" t="s">
        <v>579</v>
      </c>
      <c r="I174" s="29">
        <v>491</v>
      </c>
      <c r="J174" s="16" t="s">
        <v>359</v>
      </c>
    </row>
    <row r="175" ht="30" spans="1:10">
      <c r="A175" s="10">
        <v>173</v>
      </c>
      <c r="B175" s="10" t="s">
        <v>211</v>
      </c>
      <c r="C175" s="10" t="s">
        <v>580</v>
      </c>
      <c r="D175" s="12" t="s">
        <v>581</v>
      </c>
      <c r="E175" s="14"/>
      <c r="F175" s="20"/>
      <c r="G175" s="13" t="s">
        <v>369</v>
      </c>
      <c r="H175" s="20"/>
      <c r="I175" s="30">
        <f>491*0.3</f>
        <v>147.3</v>
      </c>
      <c r="J175" s="16" t="s">
        <v>359</v>
      </c>
    </row>
    <row r="176" ht="42.75" spans="1:10">
      <c r="A176" s="10">
        <v>174</v>
      </c>
      <c r="B176" s="10" t="s">
        <v>211</v>
      </c>
      <c r="C176" s="10" t="s">
        <v>582</v>
      </c>
      <c r="D176" s="12" t="s">
        <v>583</v>
      </c>
      <c r="E176" s="12" t="s">
        <v>584</v>
      </c>
      <c r="F176" s="22" t="s">
        <v>585</v>
      </c>
      <c r="G176" s="13" t="s">
        <v>369</v>
      </c>
      <c r="H176" s="22" t="s">
        <v>586</v>
      </c>
      <c r="I176" s="28">
        <v>1279.2</v>
      </c>
      <c r="J176" s="16" t="s">
        <v>359</v>
      </c>
    </row>
    <row r="177" ht="15.75" spans="1:10">
      <c r="A177" s="10">
        <v>175</v>
      </c>
      <c r="B177" s="10" t="s">
        <v>211</v>
      </c>
      <c r="C177" s="96" t="s">
        <v>587</v>
      </c>
      <c r="D177" s="12" t="s">
        <v>588</v>
      </c>
      <c r="E177" s="14"/>
      <c r="F177" s="20"/>
      <c r="G177" s="13" t="s">
        <v>369</v>
      </c>
      <c r="H177" s="14"/>
      <c r="I177" s="30">
        <f>1279*0.3</f>
        <v>383.7</v>
      </c>
      <c r="J177" s="16" t="s">
        <v>359</v>
      </c>
    </row>
    <row r="178" ht="42.75" spans="1:10">
      <c r="A178" s="10">
        <v>176</v>
      </c>
      <c r="B178" s="10" t="s">
        <v>211</v>
      </c>
      <c r="C178" s="10" t="s">
        <v>589</v>
      </c>
      <c r="D178" s="12" t="s">
        <v>590</v>
      </c>
      <c r="E178" s="12" t="s">
        <v>591</v>
      </c>
      <c r="F178" s="22" t="s">
        <v>592</v>
      </c>
      <c r="G178" s="13" t="s">
        <v>369</v>
      </c>
      <c r="H178" s="14"/>
      <c r="I178" s="28">
        <v>1716</v>
      </c>
      <c r="J178" s="16" t="s">
        <v>359</v>
      </c>
    </row>
    <row r="179" ht="30" spans="1:10">
      <c r="A179" s="10">
        <v>177</v>
      </c>
      <c r="B179" s="10" t="s">
        <v>211</v>
      </c>
      <c r="C179" s="10" t="s">
        <v>593</v>
      </c>
      <c r="D179" s="12" t="s">
        <v>594</v>
      </c>
      <c r="E179" s="14"/>
      <c r="F179" s="14"/>
      <c r="G179" s="13" t="s">
        <v>369</v>
      </c>
      <c r="H179" s="14"/>
      <c r="I179" s="30">
        <f>1716*0.3</f>
        <v>514.8</v>
      </c>
      <c r="J179" s="16" t="s">
        <v>359</v>
      </c>
    </row>
    <row r="180" ht="42.75" spans="1:10">
      <c r="A180" s="10">
        <v>178</v>
      </c>
      <c r="B180" s="10" t="s">
        <v>211</v>
      </c>
      <c r="C180" s="96" t="s">
        <v>595</v>
      </c>
      <c r="D180" s="12" t="s">
        <v>596</v>
      </c>
      <c r="E180" s="12" t="s">
        <v>597</v>
      </c>
      <c r="F180" s="12" t="s">
        <v>598</v>
      </c>
      <c r="G180" s="13" t="s">
        <v>369</v>
      </c>
      <c r="H180" s="14"/>
      <c r="I180" s="28">
        <v>936</v>
      </c>
      <c r="J180" s="16" t="s">
        <v>359</v>
      </c>
    </row>
    <row r="181" ht="30" spans="1:10">
      <c r="A181" s="10">
        <v>179</v>
      </c>
      <c r="B181" s="10" t="s">
        <v>211</v>
      </c>
      <c r="C181" s="10" t="s">
        <v>599</v>
      </c>
      <c r="D181" s="12" t="s">
        <v>600</v>
      </c>
      <c r="E181" s="14"/>
      <c r="F181" s="14"/>
      <c r="G181" s="13" t="s">
        <v>369</v>
      </c>
      <c r="H181" s="14"/>
      <c r="I181" s="30">
        <f>936*0.3</f>
        <v>280.8</v>
      </c>
      <c r="J181" s="16" t="s">
        <v>359</v>
      </c>
    </row>
    <row r="182" ht="42.75" spans="1:10">
      <c r="A182" s="10">
        <v>180</v>
      </c>
      <c r="B182" s="10" t="s">
        <v>211</v>
      </c>
      <c r="C182" s="10" t="s">
        <v>601</v>
      </c>
      <c r="D182" s="12" t="s">
        <v>602</v>
      </c>
      <c r="E182" s="12" t="s">
        <v>603</v>
      </c>
      <c r="F182" s="12" t="s">
        <v>604</v>
      </c>
      <c r="G182" s="13" t="s">
        <v>369</v>
      </c>
      <c r="H182" s="14"/>
      <c r="I182" s="28">
        <v>959.4</v>
      </c>
      <c r="J182" s="16" t="s">
        <v>359</v>
      </c>
    </row>
    <row r="183" ht="30" spans="1:10">
      <c r="A183" s="10">
        <v>181</v>
      </c>
      <c r="B183" s="10" t="s">
        <v>211</v>
      </c>
      <c r="C183" s="10" t="s">
        <v>605</v>
      </c>
      <c r="D183" s="12" t="s">
        <v>606</v>
      </c>
      <c r="E183" s="14"/>
      <c r="F183" s="14"/>
      <c r="G183" s="13" t="s">
        <v>369</v>
      </c>
      <c r="H183" s="14"/>
      <c r="I183" s="30">
        <f>959*0.3</f>
        <v>287.7</v>
      </c>
      <c r="J183" s="16" t="s">
        <v>359</v>
      </c>
    </row>
    <row r="184" ht="42.75" spans="1:10">
      <c r="A184" s="10">
        <v>182</v>
      </c>
      <c r="B184" s="10" t="s">
        <v>211</v>
      </c>
      <c r="C184" s="10" t="s">
        <v>607</v>
      </c>
      <c r="D184" s="12" t="s">
        <v>608</v>
      </c>
      <c r="E184" s="12" t="s">
        <v>609</v>
      </c>
      <c r="F184" s="12" t="s">
        <v>610</v>
      </c>
      <c r="G184" s="13" t="s">
        <v>369</v>
      </c>
      <c r="H184" s="14"/>
      <c r="I184" s="28">
        <v>3040.12633832976</v>
      </c>
      <c r="J184" s="16" t="s">
        <v>359</v>
      </c>
    </row>
    <row r="185" ht="30" spans="1:10">
      <c r="A185" s="10">
        <v>183</v>
      </c>
      <c r="B185" s="10" t="s">
        <v>211</v>
      </c>
      <c r="C185" s="10" t="s">
        <v>611</v>
      </c>
      <c r="D185" s="12" t="s">
        <v>612</v>
      </c>
      <c r="E185" s="14"/>
      <c r="F185" s="14"/>
      <c r="G185" s="13" t="s">
        <v>369</v>
      </c>
      <c r="H185" s="14"/>
      <c r="I185" s="30">
        <f>3040*0.3</f>
        <v>912</v>
      </c>
      <c r="J185" s="16" t="s">
        <v>359</v>
      </c>
    </row>
    <row r="186" ht="42.75" spans="1:10">
      <c r="A186" s="10">
        <v>184</v>
      </c>
      <c r="B186" s="10" t="s">
        <v>211</v>
      </c>
      <c r="C186" s="10" t="s">
        <v>613</v>
      </c>
      <c r="D186" s="12" t="s">
        <v>614</v>
      </c>
      <c r="E186" s="12" t="s">
        <v>615</v>
      </c>
      <c r="F186" s="12" t="s">
        <v>616</v>
      </c>
      <c r="G186" s="13" t="s">
        <v>369</v>
      </c>
      <c r="H186" s="14"/>
      <c r="I186" s="28">
        <v>2321.42</v>
      </c>
      <c r="J186" s="16" t="s">
        <v>359</v>
      </c>
    </row>
    <row r="187" ht="30" spans="1:10">
      <c r="A187" s="10">
        <v>185</v>
      </c>
      <c r="B187" s="10" t="s">
        <v>211</v>
      </c>
      <c r="C187" s="10" t="s">
        <v>617</v>
      </c>
      <c r="D187" s="12" t="s">
        <v>618</v>
      </c>
      <c r="E187" s="14"/>
      <c r="F187" s="14"/>
      <c r="G187" s="13" t="s">
        <v>369</v>
      </c>
      <c r="H187" s="14"/>
      <c r="I187" s="30">
        <f>2321*0.3</f>
        <v>696.3</v>
      </c>
      <c r="J187" s="16" t="s">
        <v>359</v>
      </c>
    </row>
    <row r="188" ht="42.75" spans="1:10">
      <c r="A188" s="10">
        <v>186</v>
      </c>
      <c r="B188" s="10" t="s">
        <v>211</v>
      </c>
      <c r="C188" s="10" t="s">
        <v>619</v>
      </c>
      <c r="D188" s="12" t="s">
        <v>620</v>
      </c>
      <c r="E188" s="12" t="s">
        <v>621</v>
      </c>
      <c r="F188" s="12" t="s">
        <v>622</v>
      </c>
      <c r="G188" s="13" t="s">
        <v>369</v>
      </c>
      <c r="H188" s="14"/>
      <c r="I188" s="28">
        <v>1726.92</v>
      </c>
      <c r="J188" s="16" t="s">
        <v>359</v>
      </c>
    </row>
    <row r="189" ht="30" spans="1:10">
      <c r="A189" s="10">
        <v>187</v>
      </c>
      <c r="B189" s="10" t="s">
        <v>211</v>
      </c>
      <c r="C189" s="10" t="s">
        <v>623</v>
      </c>
      <c r="D189" s="12" t="s">
        <v>624</v>
      </c>
      <c r="E189" s="14"/>
      <c r="F189" s="14"/>
      <c r="G189" s="13" t="s">
        <v>369</v>
      </c>
      <c r="H189" s="14"/>
      <c r="I189" s="30">
        <f>1727*0.3</f>
        <v>518.1</v>
      </c>
      <c r="J189" s="16" t="s">
        <v>359</v>
      </c>
    </row>
    <row r="190" ht="30" spans="1:10">
      <c r="A190" s="10">
        <v>188</v>
      </c>
      <c r="B190" s="10" t="s">
        <v>211</v>
      </c>
      <c r="C190" s="10" t="s">
        <v>625</v>
      </c>
      <c r="D190" s="12" t="s">
        <v>626</v>
      </c>
      <c r="E190" s="14"/>
      <c r="F190" s="14"/>
      <c r="G190" s="13" t="s">
        <v>369</v>
      </c>
      <c r="H190" s="14"/>
      <c r="I190" s="28">
        <v>259</v>
      </c>
      <c r="J190" s="16" t="s">
        <v>359</v>
      </c>
    </row>
    <row r="191" ht="42.75" spans="1:10">
      <c r="A191" s="10">
        <v>189</v>
      </c>
      <c r="B191" s="10" t="s">
        <v>211</v>
      </c>
      <c r="C191" s="10" t="s">
        <v>627</v>
      </c>
      <c r="D191" s="12" t="s">
        <v>628</v>
      </c>
      <c r="E191" s="12" t="s">
        <v>629</v>
      </c>
      <c r="F191" s="12" t="s">
        <v>630</v>
      </c>
      <c r="G191" s="13" t="s">
        <v>369</v>
      </c>
      <c r="H191" s="14"/>
      <c r="I191" s="28">
        <v>863.46</v>
      </c>
      <c r="J191" s="16" t="s">
        <v>359</v>
      </c>
    </row>
    <row r="192" ht="30" spans="1:10">
      <c r="A192" s="10">
        <v>190</v>
      </c>
      <c r="B192" s="10" t="s">
        <v>211</v>
      </c>
      <c r="C192" s="10" t="s">
        <v>631</v>
      </c>
      <c r="D192" s="12" t="s">
        <v>632</v>
      </c>
      <c r="E192" s="14"/>
      <c r="F192" s="14"/>
      <c r="G192" s="13" t="s">
        <v>369</v>
      </c>
      <c r="H192" s="14"/>
      <c r="I192" s="30">
        <f>863*0.3</f>
        <v>258.9</v>
      </c>
      <c r="J192" s="16" t="s">
        <v>359</v>
      </c>
    </row>
    <row r="193" ht="42.75" spans="1:10">
      <c r="A193" s="10">
        <v>191</v>
      </c>
      <c r="B193" s="10" t="s">
        <v>211</v>
      </c>
      <c r="C193" s="10" t="s">
        <v>633</v>
      </c>
      <c r="D193" s="12" t="s">
        <v>634</v>
      </c>
      <c r="E193" s="12" t="s">
        <v>635</v>
      </c>
      <c r="F193" s="12" t="s">
        <v>636</v>
      </c>
      <c r="G193" s="13" t="s">
        <v>369</v>
      </c>
      <c r="H193" s="14"/>
      <c r="I193" s="28">
        <v>1630.98</v>
      </c>
      <c r="J193" s="16" t="s">
        <v>359</v>
      </c>
    </row>
    <row r="194" ht="30" spans="1:10">
      <c r="A194" s="10">
        <v>192</v>
      </c>
      <c r="B194" s="10" t="s">
        <v>211</v>
      </c>
      <c r="C194" s="10" t="s">
        <v>637</v>
      </c>
      <c r="D194" s="12" t="s">
        <v>638</v>
      </c>
      <c r="E194" s="14"/>
      <c r="F194" s="14"/>
      <c r="G194" s="13" t="s">
        <v>369</v>
      </c>
      <c r="H194" s="14"/>
      <c r="I194" s="30">
        <f>1631*0.3</f>
        <v>489.3</v>
      </c>
      <c r="J194" s="16" t="s">
        <v>359</v>
      </c>
    </row>
    <row r="195" ht="42.75" spans="1:10">
      <c r="A195" s="10">
        <v>193</v>
      </c>
      <c r="B195" s="10" t="s">
        <v>211</v>
      </c>
      <c r="C195" s="10" t="s">
        <v>639</v>
      </c>
      <c r="D195" s="12" t="s">
        <v>640</v>
      </c>
      <c r="E195" s="12" t="s">
        <v>641</v>
      </c>
      <c r="F195" s="12" t="s">
        <v>642</v>
      </c>
      <c r="G195" s="13" t="s">
        <v>369</v>
      </c>
      <c r="H195" s="14"/>
      <c r="I195" s="28">
        <v>1053</v>
      </c>
      <c r="J195" s="16" t="s">
        <v>359</v>
      </c>
    </row>
    <row r="196" ht="30" spans="1:10">
      <c r="A196" s="10">
        <v>194</v>
      </c>
      <c r="B196" s="10" t="s">
        <v>211</v>
      </c>
      <c r="C196" s="10" t="s">
        <v>643</v>
      </c>
      <c r="D196" s="12" t="s">
        <v>644</v>
      </c>
      <c r="E196" s="14"/>
      <c r="F196" s="14"/>
      <c r="G196" s="13" t="s">
        <v>369</v>
      </c>
      <c r="H196" s="14"/>
      <c r="I196" s="30">
        <f>1053*0.3</f>
        <v>315.9</v>
      </c>
      <c r="J196" s="16" t="s">
        <v>359</v>
      </c>
    </row>
    <row r="197" ht="42.75" spans="1:10">
      <c r="A197" s="10">
        <v>195</v>
      </c>
      <c r="B197" s="10" t="s">
        <v>211</v>
      </c>
      <c r="C197" s="10" t="s">
        <v>645</v>
      </c>
      <c r="D197" s="12" t="s">
        <v>646</v>
      </c>
      <c r="E197" s="12" t="s">
        <v>647</v>
      </c>
      <c r="F197" s="12" t="s">
        <v>648</v>
      </c>
      <c r="G197" s="13" t="s">
        <v>369</v>
      </c>
      <c r="H197" s="14"/>
      <c r="I197" s="28">
        <v>1808</v>
      </c>
      <c r="J197" s="16" t="s">
        <v>359</v>
      </c>
    </row>
    <row r="198" ht="30" spans="1:10">
      <c r="A198" s="10">
        <v>196</v>
      </c>
      <c r="B198" s="10" t="s">
        <v>211</v>
      </c>
      <c r="C198" s="10" t="s">
        <v>649</v>
      </c>
      <c r="D198" s="12" t="s">
        <v>650</v>
      </c>
      <c r="E198" s="14"/>
      <c r="F198" s="14"/>
      <c r="G198" s="13" t="s">
        <v>369</v>
      </c>
      <c r="H198" s="14"/>
      <c r="I198" s="30">
        <f>1808*0.3</f>
        <v>542.4</v>
      </c>
      <c r="J198" s="16" t="s">
        <v>359</v>
      </c>
    </row>
    <row r="199" ht="42.75" spans="1:10">
      <c r="A199" s="10">
        <v>197</v>
      </c>
      <c r="B199" s="10" t="s">
        <v>211</v>
      </c>
      <c r="C199" s="10" t="s">
        <v>651</v>
      </c>
      <c r="D199" s="12" t="s">
        <v>652</v>
      </c>
      <c r="E199" s="12" t="s">
        <v>653</v>
      </c>
      <c r="F199" s="12" t="s">
        <v>654</v>
      </c>
      <c r="G199" s="13" t="s">
        <v>369</v>
      </c>
      <c r="H199" s="14"/>
      <c r="I199" s="28">
        <v>1142</v>
      </c>
      <c r="J199" s="16" t="s">
        <v>359</v>
      </c>
    </row>
    <row r="200" ht="15.75" spans="1:10">
      <c r="A200" s="10">
        <v>198</v>
      </c>
      <c r="B200" s="10" t="s">
        <v>211</v>
      </c>
      <c r="C200" s="10" t="s">
        <v>655</v>
      </c>
      <c r="D200" s="12" t="s">
        <v>656</v>
      </c>
      <c r="E200" s="14"/>
      <c r="F200" s="14"/>
      <c r="G200" s="13" t="s">
        <v>369</v>
      </c>
      <c r="H200" s="14"/>
      <c r="I200" s="30">
        <f>1142*0.3</f>
        <v>342.6</v>
      </c>
      <c r="J200" s="16" t="s">
        <v>359</v>
      </c>
    </row>
    <row r="201" ht="57" spans="1:10">
      <c r="A201" s="10">
        <v>199</v>
      </c>
      <c r="B201" s="10" t="s">
        <v>211</v>
      </c>
      <c r="C201" s="96" t="s">
        <v>657</v>
      </c>
      <c r="D201" s="12" t="s">
        <v>658</v>
      </c>
      <c r="E201" s="12" t="s">
        <v>659</v>
      </c>
      <c r="F201" s="12" t="s">
        <v>660</v>
      </c>
      <c r="G201" s="13" t="s">
        <v>369</v>
      </c>
      <c r="H201" s="14"/>
      <c r="I201" s="28">
        <v>1702.70338983051</v>
      </c>
      <c r="J201" s="16" t="s">
        <v>359</v>
      </c>
    </row>
    <row r="202" ht="15.75" spans="1:10">
      <c r="A202" s="10">
        <v>200</v>
      </c>
      <c r="B202" s="10" t="s">
        <v>211</v>
      </c>
      <c r="C202" s="10" t="s">
        <v>661</v>
      </c>
      <c r="D202" s="12" t="s">
        <v>662</v>
      </c>
      <c r="E202" s="14"/>
      <c r="F202" s="14"/>
      <c r="G202" s="13" t="s">
        <v>369</v>
      </c>
      <c r="H202" s="14"/>
      <c r="I202" s="30">
        <f>1703*0.3</f>
        <v>510.9</v>
      </c>
      <c r="J202" s="16" t="s">
        <v>359</v>
      </c>
    </row>
    <row r="203" ht="42.75" spans="1:10">
      <c r="A203" s="10">
        <v>201</v>
      </c>
      <c r="B203" s="38" t="s">
        <v>177</v>
      </c>
      <c r="C203" s="10" t="s">
        <v>663</v>
      </c>
      <c r="D203" s="32" t="s">
        <v>664</v>
      </c>
      <c r="E203" s="34" t="s">
        <v>665</v>
      </c>
      <c r="F203" s="34" t="s">
        <v>666</v>
      </c>
      <c r="G203" s="39" t="s">
        <v>16</v>
      </c>
      <c r="H203" s="33"/>
      <c r="I203" s="29">
        <v>5</v>
      </c>
      <c r="J203" s="16" t="s">
        <v>359</v>
      </c>
    </row>
    <row r="204" ht="42.75" spans="1:10">
      <c r="A204" s="10">
        <v>202</v>
      </c>
      <c r="B204" s="38" t="s">
        <v>177</v>
      </c>
      <c r="C204" s="10" t="s">
        <v>667</v>
      </c>
      <c r="D204" s="32" t="s">
        <v>668</v>
      </c>
      <c r="E204" s="34" t="s">
        <v>669</v>
      </c>
      <c r="F204" s="34" t="s">
        <v>666</v>
      </c>
      <c r="G204" s="39" t="s">
        <v>16</v>
      </c>
      <c r="H204" s="33"/>
      <c r="I204" s="29">
        <v>150</v>
      </c>
      <c r="J204" s="16" t="s">
        <v>359</v>
      </c>
    </row>
    <row r="205" ht="42.75" spans="1:10">
      <c r="A205" s="10">
        <v>203</v>
      </c>
      <c r="B205" s="38" t="s">
        <v>177</v>
      </c>
      <c r="C205" s="10" t="s">
        <v>670</v>
      </c>
      <c r="D205" s="12" t="s">
        <v>671</v>
      </c>
      <c r="E205" s="22" t="s">
        <v>672</v>
      </c>
      <c r="F205" s="22" t="s">
        <v>673</v>
      </c>
      <c r="G205" s="13" t="s">
        <v>16</v>
      </c>
      <c r="H205" s="20"/>
      <c r="I205" s="29">
        <v>57</v>
      </c>
      <c r="J205" s="16" t="s">
        <v>359</v>
      </c>
    </row>
    <row r="206" ht="42.75" spans="1:10">
      <c r="A206" s="10">
        <v>204</v>
      </c>
      <c r="B206" s="38" t="s">
        <v>177</v>
      </c>
      <c r="C206" s="10" t="s">
        <v>674</v>
      </c>
      <c r="D206" s="12" t="s">
        <v>675</v>
      </c>
      <c r="E206" s="22" t="s">
        <v>676</v>
      </c>
      <c r="F206" s="22" t="s">
        <v>677</v>
      </c>
      <c r="G206" s="13" t="s">
        <v>16</v>
      </c>
      <c r="H206" s="20"/>
      <c r="I206" s="29">
        <v>57</v>
      </c>
      <c r="J206" s="16" t="s">
        <v>359</v>
      </c>
    </row>
    <row r="207" ht="42.75" spans="1:10">
      <c r="A207" s="10">
        <v>205</v>
      </c>
      <c r="B207" s="38" t="s">
        <v>177</v>
      </c>
      <c r="C207" s="10" t="s">
        <v>678</v>
      </c>
      <c r="D207" s="12" t="s">
        <v>679</v>
      </c>
      <c r="E207" s="22" t="s">
        <v>680</v>
      </c>
      <c r="F207" s="22" t="s">
        <v>681</v>
      </c>
      <c r="G207" s="13" t="s">
        <v>16</v>
      </c>
      <c r="H207" s="20"/>
      <c r="I207" s="29">
        <v>9</v>
      </c>
      <c r="J207" s="16" t="s">
        <v>359</v>
      </c>
    </row>
    <row r="208" ht="28.5" spans="1:10">
      <c r="A208" s="10">
        <v>206</v>
      </c>
      <c r="B208" s="38" t="s">
        <v>177</v>
      </c>
      <c r="C208" s="10" t="s">
        <v>682</v>
      </c>
      <c r="D208" s="12" t="s">
        <v>683</v>
      </c>
      <c r="E208" s="22" t="s">
        <v>684</v>
      </c>
      <c r="F208" s="22" t="s">
        <v>685</v>
      </c>
      <c r="G208" s="13" t="s">
        <v>16</v>
      </c>
      <c r="H208" s="20"/>
      <c r="I208" s="29">
        <v>9</v>
      </c>
      <c r="J208" s="16" t="s">
        <v>359</v>
      </c>
    </row>
    <row r="209" ht="57" spans="1:10">
      <c r="A209" s="10">
        <v>207</v>
      </c>
      <c r="B209" s="38" t="s">
        <v>177</v>
      </c>
      <c r="C209" s="10" t="s">
        <v>686</v>
      </c>
      <c r="D209" s="12" t="s">
        <v>687</v>
      </c>
      <c r="E209" s="22" t="s">
        <v>688</v>
      </c>
      <c r="F209" s="22" t="s">
        <v>689</v>
      </c>
      <c r="G209" s="13" t="s">
        <v>16</v>
      </c>
      <c r="H209" s="20"/>
      <c r="I209" s="29">
        <v>8.2</v>
      </c>
      <c r="J209" s="16" t="s">
        <v>359</v>
      </c>
    </row>
    <row r="210" ht="42.75" spans="1:10">
      <c r="A210" s="10">
        <v>208</v>
      </c>
      <c r="B210" s="38" t="s">
        <v>11</v>
      </c>
      <c r="C210" s="10" t="s">
        <v>690</v>
      </c>
      <c r="D210" s="12" t="s">
        <v>691</v>
      </c>
      <c r="E210" s="22" t="s">
        <v>692</v>
      </c>
      <c r="F210" s="22" t="s">
        <v>693</v>
      </c>
      <c r="G210" s="13" t="s">
        <v>369</v>
      </c>
      <c r="H210" s="22" t="s">
        <v>694</v>
      </c>
      <c r="I210" s="29">
        <v>45.1</v>
      </c>
      <c r="J210" s="16" t="s">
        <v>359</v>
      </c>
    </row>
    <row r="211" ht="30" spans="1:10">
      <c r="A211" s="10">
        <v>209</v>
      </c>
      <c r="B211" s="38" t="s">
        <v>11</v>
      </c>
      <c r="C211" s="10" t="s">
        <v>695</v>
      </c>
      <c r="D211" s="12" t="s">
        <v>696</v>
      </c>
      <c r="E211" s="20"/>
      <c r="F211" s="20"/>
      <c r="G211" s="13" t="s">
        <v>369</v>
      </c>
      <c r="H211" s="20"/>
      <c r="I211" s="23">
        <f>45*0.3</f>
        <v>13.5</v>
      </c>
      <c r="J211" s="16" t="s">
        <v>359</v>
      </c>
    </row>
    <row r="212" ht="42.75" spans="1:10">
      <c r="A212" s="10">
        <v>210</v>
      </c>
      <c r="B212" s="38" t="s">
        <v>211</v>
      </c>
      <c r="C212" s="10" t="s">
        <v>697</v>
      </c>
      <c r="D212" s="12" t="s">
        <v>698</v>
      </c>
      <c r="E212" s="22" t="s">
        <v>699</v>
      </c>
      <c r="F212" s="22" t="s">
        <v>700</v>
      </c>
      <c r="G212" s="13" t="s">
        <v>369</v>
      </c>
      <c r="H212" s="22" t="s">
        <v>694</v>
      </c>
      <c r="I212" s="29">
        <v>2119.7</v>
      </c>
      <c r="J212" s="16" t="s">
        <v>359</v>
      </c>
    </row>
    <row r="213" ht="30" spans="1:10">
      <c r="A213" s="10">
        <v>211</v>
      </c>
      <c r="B213" s="38" t="s">
        <v>211</v>
      </c>
      <c r="C213" s="10" t="s">
        <v>701</v>
      </c>
      <c r="D213" s="32" t="s">
        <v>702</v>
      </c>
      <c r="E213" s="33"/>
      <c r="F213" s="33"/>
      <c r="G213" s="39" t="s">
        <v>369</v>
      </c>
      <c r="H213" s="33"/>
      <c r="I213" s="23">
        <f>2120*0.3</f>
        <v>636</v>
      </c>
      <c r="J213" s="16" t="s">
        <v>359</v>
      </c>
    </row>
    <row r="214" ht="42.75" spans="1:10">
      <c r="A214" s="10">
        <v>212</v>
      </c>
      <c r="B214" s="38" t="s">
        <v>11</v>
      </c>
      <c r="C214" s="10" t="s">
        <v>703</v>
      </c>
      <c r="D214" s="32" t="s">
        <v>704</v>
      </c>
      <c r="E214" s="34" t="s">
        <v>705</v>
      </c>
      <c r="F214" s="34" t="s">
        <v>706</v>
      </c>
      <c r="G214" s="39" t="s">
        <v>369</v>
      </c>
      <c r="H214" s="34" t="s">
        <v>707</v>
      </c>
      <c r="I214" s="29">
        <v>35</v>
      </c>
      <c r="J214" s="16" t="s">
        <v>359</v>
      </c>
    </row>
    <row r="215" ht="57" spans="1:10">
      <c r="A215" s="10">
        <v>213</v>
      </c>
      <c r="B215" s="38" t="s">
        <v>11</v>
      </c>
      <c r="C215" s="10" t="s">
        <v>708</v>
      </c>
      <c r="D215" s="32" t="s">
        <v>709</v>
      </c>
      <c r="E215" s="34" t="s">
        <v>710</v>
      </c>
      <c r="F215" s="34" t="s">
        <v>711</v>
      </c>
      <c r="G215" s="39" t="s">
        <v>369</v>
      </c>
      <c r="H215" s="34" t="s">
        <v>694</v>
      </c>
      <c r="I215" s="29">
        <v>14</v>
      </c>
      <c r="J215" s="16" t="s">
        <v>359</v>
      </c>
    </row>
    <row r="216" ht="42.75" spans="1:10">
      <c r="A216" s="10">
        <v>214</v>
      </c>
      <c r="B216" s="38" t="s">
        <v>11</v>
      </c>
      <c r="C216" s="10" t="s">
        <v>712</v>
      </c>
      <c r="D216" s="32" t="s">
        <v>713</v>
      </c>
      <c r="E216" s="34" t="s">
        <v>714</v>
      </c>
      <c r="F216" s="34" t="s">
        <v>462</v>
      </c>
      <c r="G216" s="39" t="s">
        <v>369</v>
      </c>
      <c r="H216" s="33"/>
      <c r="I216" s="29">
        <v>78.72</v>
      </c>
      <c r="J216" s="16" t="s">
        <v>359</v>
      </c>
    </row>
    <row r="217" ht="30" spans="1:10">
      <c r="A217" s="10">
        <v>215</v>
      </c>
      <c r="B217" s="38" t="s">
        <v>11</v>
      </c>
      <c r="C217" s="10" t="s">
        <v>715</v>
      </c>
      <c r="D217" s="32" t="s">
        <v>716</v>
      </c>
      <c r="E217" s="33"/>
      <c r="F217" s="33"/>
      <c r="G217" s="39" t="s">
        <v>369</v>
      </c>
      <c r="H217" s="14"/>
      <c r="I217" s="23">
        <f>79*0.3</f>
        <v>23.7</v>
      </c>
      <c r="J217" s="16" t="s">
        <v>359</v>
      </c>
    </row>
    <row r="218" ht="93" spans="1:10">
      <c r="A218" s="10">
        <v>216</v>
      </c>
      <c r="B218" s="38" t="s">
        <v>11</v>
      </c>
      <c r="C218" s="10" t="s">
        <v>717</v>
      </c>
      <c r="D218" s="32" t="s">
        <v>718</v>
      </c>
      <c r="E218" s="34" t="s">
        <v>719</v>
      </c>
      <c r="F218" s="34" t="s">
        <v>720</v>
      </c>
      <c r="G218" s="39" t="s">
        <v>16</v>
      </c>
      <c r="H218" s="14" t="s">
        <v>721</v>
      </c>
      <c r="I218" s="29">
        <v>49.2</v>
      </c>
      <c r="J218" s="16" t="s">
        <v>359</v>
      </c>
    </row>
    <row r="219" ht="30" spans="1:10">
      <c r="A219" s="10">
        <v>217</v>
      </c>
      <c r="B219" s="38" t="s">
        <v>11</v>
      </c>
      <c r="C219" s="10" t="s">
        <v>722</v>
      </c>
      <c r="D219" s="12" t="s">
        <v>723</v>
      </c>
      <c r="E219" s="14"/>
      <c r="F219" s="31"/>
      <c r="G219" s="39" t="s">
        <v>16</v>
      </c>
      <c r="H219" s="14"/>
      <c r="I219" s="30">
        <f>49*0.3</f>
        <v>14.7</v>
      </c>
      <c r="J219" s="16" t="s">
        <v>359</v>
      </c>
    </row>
    <row r="220" ht="30" spans="1:10">
      <c r="A220" s="10">
        <v>218</v>
      </c>
      <c r="B220" s="38" t="s">
        <v>11</v>
      </c>
      <c r="C220" s="10" t="s">
        <v>724</v>
      </c>
      <c r="D220" s="12" t="s">
        <v>725</v>
      </c>
      <c r="E220" s="14"/>
      <c r="F220" s="31"/>
      <c r="G220" s="39" t="s">
        <v>16</v>
      </c>
      <c r="H220" s="14"/>
      <c r="I220" s="28">
        <v>19.68</v>
      </c>
      <c r="J220" s="16" t="s">
        <v>359</v>
      </c>
    </row>
    <row r="221" ht="77.25" spans="1:10">
      <c r="A221" s="10">
        <v>219</v>
      </c>
      <c r="B221" s="38" t="s">
        <v>11</v>
      </c>
      <c r="C221" s="96" t="s">
        <v>726</v>
      </c>
      <c r="D221" s="12" t="s">
        <v>727</v>
      </c>
      <c r="E221" s="12" t="s">
        <v>728</v>
      </c>
      <c r="F221" s="32" t="s">
        <v>449</v>
      </c>
      <c r="G221" s="39" t="s">
        <v>16</v>
      </c>
      <c r="H221" s="14" t="s">
        <v>729</v>
      </c>
      <c r="I221" s="28">
        <v>125.46</v>
      </c>
      <c r="J221" s="16" t="s">
        <v>359</v>
      </c>
    </row>
    <row r="222" ht="30" spans="1:10">
      <c r="A222" s="10">
        <v>220</v>
      </c>
      <c r="B222" s="38" t="s">
        <v>11</v>
      </c>
      <c r="C222" s="10" t="s">
        <v>730</v>
      </c>
      <c r="D222" s="12" t="s">
        <v>731</v>
      </c>
      <c r="E222" s="20"/>
      <c r="F222" s="20"/>
      <c r="G222" s="39" t="s">
        <v>16</v>
      </c>
      <c r="H222" s="33"/>
      <c r="I222" s="23">
        <f>125*0.3</f>
        <v>37.5</v>
      </c>
      <c r="J222" s="16" t="s">
        <v>359</v>
      </c>
    </row>
    <row r="223" ht="42.75" spans="1:10">
      <c r="A223" s="10">
        <v>221</v>
      </c>
      <c r="B223" s="38" t="s">
        <v>211</v>
      </c>
      <c r="C223" s="96" t="s">
        <v>732</v>
      </c>
      <c r="D223" s="12" t="s">
        <v>733</v>
      </c>
      <c r="E223" s="22" t="s">
        <v>734</v>
      </c>
      <c r="F223" s="22" t="s">
        <v>735</v>
      </c>
      <c r="G223" s="39" t="s">
        <v>736</v>
      </c>
      <c r="H223" s="33"/>
      <c r="I223" s="29">
        <v>1315.28</v>
      </c>
      <c r="J223" s="16" t="s">
        <v>359</v>
      </c>
    </row>
    <row r="224" ht="30" spans="1:10">
      <c r="A224" s="10">
        <v>222</v>
      </c>
      <c r="B224" s="38" t="s">
        <v>211</v>
      </c>
      <c r="C224" s="10" t="s">
        <v>737</v>
      </c>
      <c r="D224" s="12" t="s">
        <v>738</v>
      </c>
      <c r="E224" s="20"/>
      <c r="F224" s="20"/>
      <c r="G224" s="39" t="s">
        <v>736</v>
      </c>
      <c r="H224" s="20"/>
      <c r="I224" s="23">
        <f>1315*0.3</f>
        <v>394.5</v>
      </c>
      <c r="J224" s="16" t="s">
        <v>359</v>
      </c>
    </row>
    <row r="225" ht="42.75" spans="1:10">
      <c r="A225" s="10">
        <v>223</v>
      </c>
      <c r="B225" s="38" t="s">
        <v>211</v>
      </c>
      <c r="C225" s="10" t="s">
        <v>739</v>
      </c>
      <c r="D225" s="12" t="s">
        <v>740</v>
      </c>
      <c r="E225" s="22" t="s">
        <v>741</v>
      </c>
      <c r="F225" s="22" t="s">
        <v>742</v>
      </c>
      <c r="G225" s="13" t="s">
        <v>16</v>
      </c>
      <c r="H225" s="20" t="s">
        <v>743</v>
      </c>
      <c r="I225" s="29">
        <v>1666.24</v>
      </c>
      <c r="J225" s="16" t="s">
        <v>359</v>
      </c>
    </row>
    <row r="226" ht="30" spans="1:10">
      <c r="A226" s="10">
        <v>224</v>
      </c>
      <c r="B226" s="38" t="s">
        <v>211</v>
      </c>
      <c r="C226" s="10" t="s">
        <v>744</v>
      </c>
      <c r="D226" s="12" t="s">
        <v>745</v>
      </c>
      <c r="E226" s="20"/>
      <c r="F226" s="20"/>
      <c r="G226" s="13" t="s">
        <v>16</v>
      </c>
      <c r="H226" s="20"/>
      <c r="I226" s="23">
        <f>1666*0.3</f>
        <v>499.8</v>
      </c>
      <c r="J226" s="16" t="s">
        <v>359</v>
      </c>
    </row>
    <row r="227" ht="42.75" spans="1:10">
      <c r="A227" s="10">
        <v>225</v>
      </c>
      <c r="B227" s="38" t="s">
        <v>211</v>
      </c>
      <c r="C227" s="10" t="s">
        <v>746</v>
      </c>
      <c r="D227" s="12" t="s">
        <v>747</v>
      </c>
      <c r="E227" s="22" t="s">
        <v>748</v>
      </c>
      <c r="F227" s="22" t="s">
        <v>749</v>
      </c>
      <c r="G227" s="13" t="s">
        <v>16</v>
      </c>
      <c r="H227" s="40"/>
      <c r="I227" s="29">
        <v>2945.44</v>
      </c>
      <c r="J227" s="16" t="s">
        <v>359</v>
      </c>
    </row>
    <row r="228" ht="15.75" spans="1:10">
      <c r="A228" s="10">
        <v>226</v>
      </c>
      <c r="B228" s="38" t="s">
        <v>211</v>
      </c>
      <c r="C228" s="10" t="s">
        <v>750</v>
      </c>
      <c r="D228" s="12" t="s">
        <v>751</v>
      </c>
      <c r="E228" s="20"/>
      <c r="F228" s="20"/>
      <c r="G228" s="13" t="s">
        <v>16</v>
      </c>
      <c r="H228" s="20"/>
      <c r="I228" s="23">
        <f>2945*0.3</f>
        <v>883.5</v>
      </c>
      <c r="J228" s="16" t="s">
        <v>359</v>
      </c>
    </row>
    <row r="229" ht="42.75" spans="1:10">
      <c r="A229" s="10">
        <v>227</v>
      </c>
      <c r="B229" s="38" t="s">
        <v>211</v>
      </c>
      <c r="C229" s="10" t="s">
        <v>752</v>
      </c>
      <c r="D229" s="12" t="s">
        <v>753</v>
      </c>
      <c r="E229" s="22" t="s">
        <v>754</v>
      </c>
      <c r="F229" s="22" t="s">
        <v>755</v>
      </c>
      <c r="G229" s="13" t="s">
        <v>369</v>
      </c>
      <c r="H229" s="20"/>
      <c r="I229" s="29">
        <v>1025</v>
      </c>
      <c r="J229" s="16" t="s">
        <v>359</v>
      </c>
    </row>
    <row r="230" ht="30" spans="1:10">
      <c r="A230" s="10">
        <v>228</v>
      </c>
      <c r="B230" s="38" t="s">
        <v>211</v>
      </c>
      <c r="C230" s="10" t="s">
        <v>756</v>
      </c>
      <c r="D230" s="12" t="s">
        <v>757</v>
      </c>
      <c r="E230" s="20"/>
      <c r="F230" s="20"/>
      <c r="G230" s="13" t="s">
        <v>369</v>
      </c>
      <c r="H230" s="20"/>
      <c r="I230" s="23">
        <f>1025*0.3</f>
        <v>307.5</v>
      </c>
      <c r="J230" s="16" t="s">
        <v>359</v>
      </c>
    </row>
    <row r="231" ht="30" spans="1:10">
      <c r="A231" s="10">
        <v>229</v>
      </c>
      <c r="B231" s="38" t="s">
        <v>211</v>
      </c>
      <c r="C231" s="10" t="s">
        <v>758</v>
      </c>
      <c r="D231" s="12" t="s">
        <v>759</v>
      </c>
      <c r="E231" s="20"/>
      <c r="F231" s="20"/>
      <c r="G231" s="13" t="s">
        <v>369</v>
      </c>
      <c r="H231" s="20"/>
      <c r="I231" s="29">
        <v>1025</v>
      </c>
      <c r="J231" s="16" t="s">
        <v>359</v>
      </c>
    </row>
    <row r="232" ht="42.75" spans="1:10">
      <c r="A232" s="10">
        <v>230</v>
      </c>
      <c r="B232" s="38" t="s">
        <v>211</v>
      </c>
      <c r="C232" s="10" t="s">
        <v>760</v>
      </c>
      <c r="D232" s="12" t="s">
        <v>761</v>
      </c>
      <c r="E232" s="22" t="s">
        <v>762</v>
      </c>
      <c r="F232" s="22" t="s">
        <v>763</v>
      </c>
      <c r="G232" s="13" t="s">
        <v>369</v>
      </c>
      <c r="H232" s="20"/>
      <c r="I232" s="29">
        <v>2050</v>
      </c>
      <c r="J232" s="16" t="s">
        <v>359</v>
      </c>
    </row>
    <row r="233" ht="30" spans="1:10">
      <c r="A233" s="10">
        <v>231</v>
      </c>
      <c r="B233" s="38" t="s">
        <v>211</v>
      </c>
      <c r="C233" s="10" t="s">
        <v>764</v>
      </c>
      <c r="D233" s="12" t="s">
        <v>765</v>
      </c>
      <c r="E233" s="20"/>
      <c r="F233" s="20"/>
      <c r="G233" s="13" t="s">
        <v>369</v>
      </c>
      <c r="H233" s="20"/>
      <c r="I233" s="23">
        <f>2050*0.3</f>
        <v>615</v>
      </c>
      <c r="J233" s="16" t="s">
        <v>359</v>
      </c>
    </row>
    <row r="234" ht="30" spans="1:10">
      <c r="A234" s="10">
        <v>232</v>
      </c>
      <c r="B234" s="38" t="s">
        <v>211</v>
      </c>
      <c r="C234" s="10" t="s">
        <v>766</v>
      </c>
      <c r="D234" s="12" t="s">
        <v>767</v>
      </c>
      <c r="E234" s="20"/>
      <c r="F234" s="20"/>
      <c r="G234" s="13" t="s">
        <v>369</v>
      </c>
      <c r="H234" s="20"/>
      <c r="I234" s="29">
        <v>1025</v>
      </c>
      <c r="J234" s="16" t="s">
        <v>359</v>
      </c>
    </row>
    <row r="235" ht="42.75" spans="1:10">
      <c r="A235" s="10">
        <v>233</v>
      </c>
      <c r="B235" s="38" t="s">
        <v>211</v>
      </c>
      <c r="C235" s="10" t="s">
        <v>768</v>
      </c>
      <c r="D235" s="12" t="s">
        <v>769</v>
      </c>
      <c r="E235" s="22" t="s">
        <v>770</v>
      </c>
      <c r="F235" s="22" t="s">
        <v>771</v>
      </c>
      <c r="G235" s="13" t="s">
        <v>16</v>
      </c>
      <c r="H235" s="20"/>
      <c r="I235" s="29">
        <v>800</v>
      </c>
      <c r="J235" s="16" t="s">
        <v>359</v>
      </c>
    </row>
    <row r="236" ht="30" spans="1:10">
      <c r="A236" s="10">
        <v>234</v>
      </c>
      <c r="B236" s="38" t="s">
        <v>211</v>
      </c>
      <c r="C236" s="10" t="s">
        <v>772</v>
      </c>
      <c r="D236" s="12" t="s">
        <v>773</v>
      </c>
      <c r="E236" s="20"/>
      <c r="F236" s="20"/>
      <c r="G236" s="13" t="s">
        <v>16</v>
      </c>
      <c r="H236" s="20"/>
      <c r="I236" s="23">
        <f>800*0.3</f>
        <v>240</v>
      </c>
      <c r="J236" s="16" t="s">
        <v>359</v>
      </c>
    </row>
    <row r="237" ht="42.75" spans="1:10">
      <c r="A237" s="10">
        <v>235</v>
      </c>
      <c r="B237" s="38" t="s">
        <v>211</v>
      </c>
      <c r="C237" s="10" t="s">
        <v>774</v>
      </c>
      <c r="D237" s="12" t="s">
        <v>775</v>
      </c>
      <c r="E237" s="22" t="s">
        <v>776</v>
      </c>
      <c r="F237" s="22" t="s">
        <v>777</v>
      </c>
      <c r="G237" s="13" t="s">
        <v>16</v>
      </c>
      <c r="H237" s="20"/>
      <c r="I237" s="29">
        <v>642.88</v>
      </c>
      <c r="J237" s="16" t="s">
        <v>359</v>
      </c>
    </row>
    <row r="238" ht="31.5" spans="1:10">
      <c r="A238" s="10">
        <v>236</v>
      </c>
      <c r="B238" s="38" t="s">
        <v>211</v>
      </c>
      <c r="C238" s="10" t="s">
        <v>778</v>
      </c>
      <c r="D238" s="12" t="s">
        <v>779</v>
      </c>
      <c r="E238" s="20"/>
      <c r="F238" s="20"/>
      <c r="G238" s="13" t="s">
        <v>16</v>
      </c>
      <c r="H238" s="20"/>
      <c r="I238" s="23">
        <f>643*0.3</f>
        <v>192.9</v>
      </c>
      <c r="J238" s="16" t="s">
        <v>359</v>
      </c>
    </row>
    <row r="239" ht="42.75" spans="1:10">
      <c r="A239" s="10">
        <v>237</v>
      </c>
      <c r="B239" s="38" t="s">
        <v>211</v>
      </c>
      <c r="C239" s="96" t="s">
        <v>780</v>
      </c>
      <c r="D239" s="12" t="s">
        <v>781</v>
      </c>
      <c r="E239" s="22" t="s">
        <v>782</v>
      </c>
      <c r="F239" s="22" t="s">
        <v>783</v>
      </c>
      <c r="G239" s="13" t="s">
        <v>16</v>
      </c>
      <c r="H239" s="20"/>
      <c r="I239" s="29">
        <v>1666.24</v>
      </c>
      <c r="J239" s="16" t="s">
        <v>359</v>
      </c>
    </row>
    <row r="240" ht="30" spans="1:10">
      <c r="A240" s="10">
        <v>238</v>
      </c>
      <c r="B240" s="38" t="s">
        <v>211</v>
      </c>
      <c r="C240" s="10" t="s">
        <v>784</v>
      </c>
      <c r="D240" s="12" t="s">
        <v>785</v>
      </c>
      <c r="E240" s="20"/>
      <c r="F240" s="20"/>
      <c r="G240" s="13" t="s">
        <v>16</v>
      </c>
      <c r="H240" s="20"/>
      <c r="I240" s="23">
        <f>1666*0.3</f>
        <v>499.8</v>
      </c>
      <c r="J240" s="16" t="s">
        <v>359</v>
      </c>
    </row>
    <row r="241" ht="58.5" spans="1:10">
      <c r="A241" s="10">
        <v>239</v>
      </c>
      <c r="B241" s="38" t="s">
        <v>211</v>
      </c>
      <c r="C241" s="10" t="s">
        <v>786</v>
      </c>
      <c r="D241" s="12" t="s">
        <v>787</v>
      </c>
      <c r="E241" s="22" t="s">
        <v>788</v>
      </c>
      <c r="F241" s="22" t="s">
        <v>789</v>
      </c>
      <c r="G241" s="13" t="s">
        <v>790</v>
      </c>
      <c r="H241" s="22" t="s">
        <v>791</v>
      </c>
      <c r="I241" s="29">
        <v>875.76</v>
      </c>
      <c r="J241" s="16" t="s">
        <v>359</v>
      </c>
    </row>
    <row r="242" ht="30" spans="1:10">
      <c r="A242" s="10">
        <v>240</v>
      </c>
      <c r="B242" s="38" t="s">
        <v>211</v>
      </c>
      <c r="C242" s="10" t="s">
        <v>792</v>
      </c>
      <c r="D242" s="12" t="s">
        <v>793</v>
      </c>
      <c r="E242" s="20"/>
      <c r="F242" s="20"/>
      <c r="G242" s="13" t="s">
        <v>790</v>
      </c>
      <c r="H242" s="20"/>
      <c r="I242" s="23">
        <f>876*0.3</f>
        <v>262.8</v>
      </c>
      <c r="J242" s="16" t="s">
        <v>359</v>
      </c>
    </row>
    <row r="243" ht="42.75" spans="1:10">
      <c r="A243" s="10">
        <v>241</v>
      </c>
      <c r="B243" s="38" t="s">
        <v>211</v>
      </c>
      <c r="C243" s="10" t="s">
        <v>794</v>
      </c>
      <c r="D243" s="12" t="s">
        <v>795</v>
      </c>
      <c r="E243" s="22" t="s">
        <v>796</v>
      </c>
      <c r="F243" s="22" t="s">
        <v>797</v>
      </c>
      <c r="G243" s="13" t="s">
        <v>16</v>
      </c>
      <c r="H243" s="20"/>
      <c r="I243" s="29">
        <v>2072</v>
      </c>
      <c r="J243" s="16" t="s">
        <v>359</v>
      </c>
    </row>
    <row r="244" ht="15.75" spans="1:10">
      <c r="A244" s="10">
        <v>242</v>
      </c>
      <c r="B244" s="38" t="s">
        <v>211</v>
      </c>
      <c r="C244" s="10" t="s">
        <v>798</v>
      </c>
      <c r="D244" s="12" t="s">
        <v>799</v>
      </c>
      <c r="E244" s="20"/>
      <c r="F244" s="33"/>
      <c r="G244" s="13" t="s">
        <v>16</v>
      </c>
      <c r="H244" s="20"/>
      <c r="I244" s="23">
        <f>2072*0.3</f>
        <v>621.6</v>
      </c>
      <c r="J244" s="16" t="s">
        <v>359</v>
      </c>
    </row>
    <row r="245" ht="57" spans="1:10">
      <c r="A245" s="10">
        <v>243</v>
      </c>
      <c r="B245" s="38" t="s">
        <v>211</v>
      </c>
      <c r="C245" s="10" t="s">
        <v>800</v>
      </c>
      <c r="D245" s="12" t="s">
        <v>801</v>
      </c>
      <c r="E245" s="22" t="s">
        <v>802</v>
      </c>
      <c r="F245" s="34" t="s">
        <v>803</v>
      </c>
      <c r="G245" s="13" t="s">
        <v>369</v>
      </c>
      <c r="H245" s="20"/>
      <c r="I245" s="29">
        <v>893</v>
      </c>
      <c r="J245" s="16" t="s">
        <v>359</v>
      </c>
    </row>
    <row r="246" ht="30" spans="1:10">
      <c r="A246" s="10">
        <v>244</v>
      </c>
      <c r="B246" s="38" t="s">
        <v>211</v>
      </c>
      <c r="C246" s="10" t="s">
        <v>804</v>
      </c>
      <c r="D246" s="12" t="s">
        <v>805</v>
      </c>
      <c r="E246" s="20"/>
      <c r="F246" s="33"/>
      <c r="G246" s="13" t="s">
        <v>369</v>
      </c>
      <c r="H246" s="20"/>
      <c r="I246" s="23">
        <f>893*0.3</f>
        <v>267.9</v>
      </c>
      <c r="J246" s="16" t="s">
        <v>359</v>
      </c>
    </row>
    <row r="247" ht="57" spans="1:10">
      <c r="A247" s="10">
        <v>245</v>
      </c>
      <c r="B247" s="38" t="s">
        <v>211</v>
      </c>
      <c r="C247" s="10" t="s">
        <v>806</v>
      </c>
      <c r="D247" s="12" t="s">
        <v>807</v>
      </c>
      <c r="E247" s="22" t="s">
        <v>808</v>
      </c>
      <c r="F247" s="34" t="s">
        <v>803</v>
      </c>
      <c r="G247" s="13" t="s">
        <v>369</v>
      </c>
      <c r="H247" s="20"/>
      <c r="I247" s="29">
        <v>1339</v>
      </c>
      <c r="J247" s="16" t="s">
        <v>359</v>
      </c>
    </row>
    <row r="248" ht="30" spans="1:10">
      <c r="A248" s="10">
        <v>246</v>
      </c>
      <c r="B248" s="38" t="s">
        <v>211</v>
      </c>
      <c r="C248" s="10" t="s">
        <v>809</v>
      </c>
      <c r="D248" s="12" t="s">
        <v>810</v>
      </c>
      <c r="E248" s="20"/>
      <c r="F248" s="33"/>
      <c r="G248" s="13" t="s">
        <v>369</v>
      </c>
      <c r="H248" s="20"/>
      <c r="I248" s="23">
        <f>1339*0.3</f>
        <v>401.7</v>
      </c>
      <c r="J248" s="16" t="s">
        <v>359</v>
      </c>
    </row>
    <row r="249" ht="30" spans="1:10">
      <c r="A249" s="10">
        <v>247</v>
      </c>
      <c r="B249" s="38" t="s">
        <v>211</v>
      </c>
      <c r="C249" s="10" t="s">
        <v>811</v>
      </c>
      <c r="D249" s="12" t="s">
        <v>812</v>
      </c>
      <c r="E249" s="20"/>
      <c r="F249" s="33"/>
      <c r="G249" s="13" t="s">
        <v>369</v>
      </c>
      <c r="H249" s="20"/>
      <c r="I249" s="29">
        <v>402</v>
      </c>
      <c r="J249" s="16" t="s">
        <v>359</v>
      </c>
    </row>
    <row r="250" ht="57" spans="1:10">
      <c r="A250" s="10">
        <v>248</v>
      </c>
      <c r="B250" s="38" t="s">
        <v>211</v>
      </c>
      <c r="C250" s="10" t="s">
        <v>813</v>
      </c>
      <c r="D250" s="12" t="s">
        <v>814</v>
      </c>
      <c r="E250" s="22" t="s">
        <v>815</v>
      </c>
      <c r="F250" s="34" t="s">
        <v>803</v>
      </c>
      <c r="G250" s="13" t="s">
        <v>16</v>
      </c>
      <c r="H250" s="22" t="s">
        <v>816</v>
      </c>
      <c r="I250" s="29">
        <v>2214.5</v>
      </c>
      <c r="J250" s="16" t="s">
        <v>359</v>
      </c>
    </row>
    <row r="251" ht="30" spans="1:10">
      <c r="A251" s="10">
        <v>249</v>
      </c>
      <c r="B251" s="38" t="s">
        <v>211</v>
      </c>
      <c r="C251" s="10" t="s">
        <v>817</v>
      </c>
      <c r="D251" s="12" t="s">
        <v>818</v>
      </c>
      <c r="E251" s="20"/>
      <c r="F251" s="33"/>
      <c r="G251" s="13" t="s">
        <v>16</v>
      </c>
      <c r="H251" s="20"/>
      <c r="I251" s="23">
        <f>2215*0.3</f>
        <v>664.5</v>
      </c>
      <c r="J251" s="16" t="s">
        <v>359</v>
      </c>
    </row>
    <row r="252" ht="57" spans="1:10">
      <c r="A252" s="10">
        <v>250</v>
      </c>
      <c r="B252" s="38" t="s">
        <v>211</v>
      </c>
      <c r="C252" s="10" t="s">
        <v>819</v>
      </c>
      <c r="D252" s="12" t="s">
        <v>820</v>
      </c>
      <c r="E252" s="22" t="s">
        <v>821</v>
      </c>
      <c r="F252" s="34" t="s">
        <v>822</v>
      </c>
      <c r="G252" s="13" t="s">
        <v>16</v>
      </c>
      <c r="H252" s="22" t="s">
        <v>823</v>
      </c>
      <c r="I252" s="29">
        <v>2706</v>
      </c>
      <c r="J252" s="16" t="s">
        <v>359</v>
      </c>
    </row>
    <row r="253" ht="30" spans="1:10">
      <c r="A253" s="10">
        <v>251</v>
      </c>
      <c r="B253" s="38" t="s">
        <v>211</v>
      </c>
      <c r="C253" s="10" t="s">
        <v>824</v>
      </c>
      <c r="D253" s="12" t="s">
        <v>825</v>
      </c>
      <c r="E253" s="20"/>
      <c r="F253" s="33"/>
      <c r="G253" s="13" t="s">
        <v>16</v>
      </c>
      <c r="H253" s="14"/>
      <c r="I253" s="23">
        <f>2706*0.3</f>
        <v>811.8</v>
      </c>
      <c r="J253" s="16" t="s">
        <v>359</v>
      </c>
    </row>
    <row r="254" ht="30" spans="1:10">
      <c r="A254" s="10">
        <v>252</v>
      </c>
      <c r="B254" s="38" t="s">
        <v>211</v>
      </c>
      <c r="C254" s="10" t="s">
        <v>826</v>
      </c>
      <c r="D254" s="12" t="s">
        <v>827</v>
      </c>
      <c r="E254" s="20"/>
      <c r="F254" s="33"/>
      <c r="G254" s="13" t="s">
        <v>16</v>
      </c>
      <c r="H254" s="14"/>
      <c r="I254" s="29">
        <v>811.8</v>
      </c>
      <c r="J254" s="16" t="s">
        <v>359</v>
      </c>
    </row>
    <row r="255" ht="90" spans="1:10">
      <c r="A255" s="10">
        <v>253</v>
      </c>
      <c r="B255" s="38" t="s">
        <v>211</v>
      </c>
      <c r="C255" s="10" t="s">
        <v>828</v>
      </c>
      <c r="D255" s="12" t="s">
        <v>829</v>
      </c>
      <c r="E255" s="22" t="s">
        <v>830</v>
      </c>
      <c r="F255" s="34" t="s">
        <v>831</v>
      </c>
      <c r="G255" s="13" t="s">
        <v>16</v>
      </c>
      <c r="H255" s="14" t="s">
        <v>832</v>
      </c>
      <c r="I255" s="29">
        <v>2976.6</v>
      </c>
      <c r="J255" s="16" t="s">
        <v>359</v>
      </c>
    </row>
    <row r="256" ht="30" spans="1:10">
      <c r="A256" s="10">
        <v>254</v>
      </c>
      <c r="B256" s="38" t="s">
        <v>211</v>
      </c>
      <c r="C256" s="10" t="s">
        <v>833</v>
      </c>
      <c r="D256" s="12" t="s">
        <v>834</v>
      </c>
      <c r="E256" s="20"/>
      <c r="F256" s="33"/>
      <c r="G256" s="13" t="s">
        <v>16</v>
      </c>
      <c r="H256" s="20"/>
      <c r="I256" s="23">
        <f>2977*0.3</f>
        <v>893.1</v>
      </c>
      <c r="J256" s="16" t="s">
        <v>359</v>
      </c>
    </row>
    <row r="257" ht="30" spans="1:10">
      <c r="A257" s="10">
        <v>255</v>
      </c>
      <c r="B257" s="38" t="s">
        <v>211</v>
      </c>
      <c r="C257" s="10" t="s">
        <v>835</v>
      </c>
      <c r="D257" s="12" t="s">
        <v>836</v>
      </c>
      <c r="E257" s="20"/>
      <c r="F257" s="33"/>
      <c r="G257" s="13" t="s">
        <v>16</v>
      </c>
      <c r="H257" s="20"/>
      <c r="I257" s="29">
        <v>892.98</v>
      </c>
      <c r="J257" s="16" t="s">
        <v>359</v>
      </c>
    </row>
    <row r="258" ht="42.75" spans="1:10">
      <c r="A258" s="10">
        <v>256</v>
      </c>
      <c r="B258" s="38" t="s">
        <v>211</v>
      </c>
      <c r="C258" s="10" t="s">
        <v>837</v>
      </c>
      <c r="D258" s="12" t="s">
        <v>838</v>
      </c>
      <c r="E258" s="22" t="s">
        <v>839</v>
      </c>
      <c r="F258" s="34" t="s">
        <v>831</v>
      </c>
      <c r="G258" s="13" t="s">
        <v>16</v>
      </c>
      <c r="H258" s="20"/>
      <c r="I258" s="29">
        <v>1943</v>
      </c>
      <c r="J258" s="16" t="s">
        <v>359</v>
      </c>
    </row>
    <row r="259" ht="30" spans="1:10">
      <c r="A259" s="10">
        <v>257</v>
      </c>
      <c r="B259" s="38" t="s">
        <v>211</v>
      </c>
      <c r="C259" s="10" t="s">
        <v>840</v>
      </c>
      <c r="D259" s="12" t="s">
        <v>841</v>
      </c>
      <c r="E259" s="20"/>
      <c r="F259" s="33"/>
      <c r="G259" s="13" t="s">
        <v>16</v>
      </c>
      <c r="H259" s="20"/>
      <c r="I259" s="23">
        <f>1943*0.3</f>
        <v>582.9</v>
      </c>
      <c r="J259" s="16" t="s">
        <v>359</v>
      </c>
    </row>
    <row r="260" ht="42.75" spans="1:10">
      <c r="A260" s="10">
        <v>258</v>
      </c>
      <c r="B260" s="38" t="s">
        <v>211</v>
      </c>
      <c r="C260" s="10" t="s">
        <v>842</v>
      </c>
      <c r="D260" s="12" t="s">
        <v>843</v>
      </c>
      <c r="E260" s="22" t="s">
        <v>844</v>
      </c>
      <c r="F260" s="34" t="s">
        <v>831</v>
      </c>
      <c r="G260" s="13" t="s">
        <v>16</v>
      </c>
      <c r="H260" s="20"/>
      <c r="I260" s="29">
        <v>2507.56</v>
      </c>
      <c r="J260" s="16" t="s">
        <v>359</v>
      </c>
    </row>
    <row r="261" ht="30" spans="1:10">
      <c r="A261" s="10">
        <v>259</v>
      </c>
      <c r="B261" s="38" t="s">
        <v>211</v>
      </c>
      <c r="C261" s="10" t="s">
        <v>845</v>
      </c>
      <c r="D261" s="12" t="s">
        <v>846</v>
      </c>
      <c r="E261" s="20"/>
      <c r="F261" s="33"/>
      <c r="G261" s="13" t="s">
        <v>16</v>
      </c>
      <c r="H261" s="14"/>
      <c r="I261" s="23">
        <f>2508*0.3</f>
        <v>752.4</v>
      </c>
      <c r="J261" s="16" t="s">
        <v>359</v>
      </c>
    </row>
    <row r="262" ht="30" spans="1:10">
      <c r="A262" s="10">
        <v>260</v>
      </c>
      <c r="B262" s="38" t="s">
        <v>211</v>
      </c>
      <c r="C262" s="10" t="s">
        <v>847</v>
      </c>
      <c r="D262" s="12" t="s">
        <v>848</v>
      </c>
      <c r="E262" s="20"/>
      <c r="F262" s="33"/>
      <c r="G262" s="13" t="s">
        <v>16</v>
      </c>
      <c r="H262" s="14"/>
      <c r="I262" s="29">
        <v>751.94</v>
      </c>
      <c r="J262" s="16" t="s">
        <v>359</v>
      </c>
    </row>
    <row r="263" ht="72.75" spans="1:10">
      <c r="A263" s="10">
        <v>261</v>
      </c>
      <c r="B263" s="38" t="s">
        <v>211</v>
      </c>
      <c r="C263" s="96" t="s">
        <v>849</v>
      </c>
      <c r="D263" s="12" t="s">
        <v>850</v>
      </c>
      <c r="E263" s="22" t="s">
        <v>851</v>
      </c>
      <c r="F263" s="34" t="s">
        <v>831</v>
      </c>
      <c r="G263" s="13" t="s">
        <v>16</v>
      </c>
      <c r="H263" s="12" t="s">
        <v>852</v>
      </c>
      <c r="I263" s="29">
        <v>4281</v>
      </c>
      <c r="J263" s="16" t="s">
        <v>359</v>
      </c>
    </row>
    <row r="264" ht="30" spans="1:10">
      <c r="A264" s="10">
        <v>262</v>
      </c>
      <c r="B264" s="38" t="s">
        <v>211</v>
      </c>
      <c r="C264" s="10" t="s">
        <v>853</v>
      </c>
      <c r="D264" s="12" t="s">
        <v>854</v>
      </c>
      <c r="E264" s="20"/>
      <c r="F264" s="20"/>
      <c r="G264" s="13" t="s">
        <v>16</v>
      </c>
      <c r="H264" s="20"/>
      <c r="I264" s="23">
        <f>4281*0.3</f>
        <v>1284.3</v>
      </c>
      <c r="J264" s="16" t="s">
        <v>359</v>
      </c>
    </row>
    <row r="265" ht="30" spans="1:10">
      <c r="A265" s="10">
        <v>263</v>
      </c>
      <c r="B265" s="38" t="s">
        <v>211</v>
      </c>
      <c r="C265" s="10" t="s">
        <v>855</v>
      </c>
      <c r="D265" s="12" t="s">
        <v>856</v>
      </c>
      <c r="E265" s="20"/>
      <c r="F265" s="20"/>
      <c r="G265" s="13" t="s">
        <v>16</v>
      </c>
      <c r="H265" s="20"/>
      <c r="I265" s="29">
        <v>1284</v>
      </c>
      <c r="J265" s="16" t="s">
        <v>359</v>
      </c>
    </row>
    <row r="266" ht="154.5" spans="1:10">
      <c r="A266" s="10">
        <v>264</v>
      </c>
      <c r="B266" s="38" t="s">
        <v>211</v>
      </c>
      <c r="C266" s="10" t="s">
        <v>857</v>
      </c>
      <c r="D266" s="12" t="s">
        <v>858</v>
      </c>
      <c r="E266" s="22" t="s">
        <v>859</v>
      </c>
      <c r="F266" s="22" t="s">
        <v>860</v>
      </c>
      <c r="G266" s="13" t="s">
        <v>861</v>
      </c>
      <c r="H266" s="20" t="s">
        <v>862</v>
      </c>
      <c r="I266" s="29">
        <v>1804</v>
      </c>
      <c r="J266" s="16" t="s">
        <v>359</v>
      </c>
    </row>
    <row r="267" ht="30" spans="1:10">
      <c r="A267" s="10">
        <v>265</v>
      </c>
      <c r="B267" s="38" t="s">
        <v>211</v>
      </c>
      <c r="C267" s="10" t="s">
        <v>863</v>
      </c>
      <c r="D267" s="12" t="s">
        <v>864</v>
      </c>
      <c r="E267" s="20"/>
      <c r="F267" s="20"/>
      <c r="G267" s="13" t="s">
        <v>861</v>
      </c>
      <c r="H267" s="20"/>
      <c r="I267" s="23">
        <f>1804*0.3</f>
        <v>541.2</v>
      </c>
      <c r="J267" s="16" t="s">
        <v>359</v>
      </c>
    </row>
    <row r="268" ht="230.25" spans="1:10">
      <c r="A268" s="10">
        <v>266</v>
      </c>
      <c r="B268" s="38" t="s">
        <v>211</v>
      </c>
      <c r="C268" s="10" t="s">
        <v>865</v>
      </c>
      <c r="D268" s="12" t="s">
        <v>866</v>
      </c>
      <c r="E268" s="22" t="s">
        <v>867</v>
      </c>
      <c r="F268" s="22" t="s">
        <v>860</v>
      </c>
      <c r="G268" s="13" t="s">
        <v>861</v>
      </c>
      <c r="H268" s="20" t="s">
        <v>868</v>
      </c>
      <c r="I268" s="29">
        <v>2810</v>
      </c>
      <c r="J268" s="16" t="s">
        <v>359</v>
      </c>
    </row>
    <row r="269" ht="30" spans="1:10">
      <c r="A269" s="10">
        <v>267</v>
      </c>
      <c r="B269" s="38" t="s">
        <v>211</v>
      </c>
      <c r="C269" s="10" t="s">
        <v>869</v>
      </c>
      <c r="D269" s="12" t="s">
        <v>870</v>
      </c>
      <c r="E269" s="20"/>
      <c r="F269" s="20"/>
      <c r="G269" s="13" t="s">
        <v>861</v>
      </c>
      <c r="H269" s="20"/>
      <c r="I269" s="23">
        <f>2810*0.3</f>
        <v>843</v>
      </c>
      <c r="J269" s="16" t="s">
        <v>359</v>
      </c>
    </row>
    <row r="270" ht="57" spans="1:10">
      <c r="A270" s="10">
        <v>268</v>
      </c>
      <c r="B270" s="38" t="s">
        <v>211</v>
      </c>
      <c r="C270" s="10" t="s">
        <v>871</v>
      </c>
      <c r="D270" s="12" t="s">
        <v>872</v>
      </c>
      <c r="E270" s="22" t="s">
        <v>873</v>
      </c>
      <c r="F270" s="22" t="s">
        <v>874</v>
      </c>
      <c r="G270" s="13" t="s">
        <v>16</v>
      </c>
      <c r="H270" s="20"/>
      <c r="I270" s="29">
        <v>642.88</v>
      </c>
      <c r="J270" s="16" t="s">
        <v>359</v>
      </c>
    </row>
    <row r="271" ht="30" spans="1:10">
      <c r="A271" s="10">
        <v>269</v>
      </c>
      <c r="B271" s="38" t="s">
        <v>211</v>
      </c>
      <c r="C271" s="10" t="s">
        <v>875</v>
      </c>
      <c r="D271" s="12" t="s">
        <v>876</v>
      </c>
      <c r="E271" s="20"/>
      <c r="F271" s="20"/>
      <c r="G271" s="13" t="s">
        <v>16</v>
      </c>
      <c r="H271" s="20"/>
      <c r="I271" s="23">
        <f>643*0.3</f>
        <v>192.9</v>
      </c>
      <c r="J271" s="16" t="s">
        <v>359</v>
      </c>
    </row>
    <row r="272" ht="42.75" spans="1:10">
      <c r="A272" s="10">
        <v>270</v>
      </c>
      <c r="B272" s="38" t="s">
        <v>211</v>
      </c>
      <c r="C272" s="10" t="s">
        <v>877</v>
      </c>
      <c r="D272" s="12" t="s">
        <v>878</v>
      </c>
      <c r="E272" s="22" t="s">
        <v>879</v>
      </c>
      <c r="F272" s="22" t="s">
        <v>880</v>
      </c>
      <c r="G272" s="13" t="s">
        <v>16</v>
      </c>
      <c r="H272" s="20"/>
      <c r="I272" s="29">
        <v>255.84</v>
      </c>
      <c r="J272" s="16" t="s">
        <v>359</v>
      </c>
    </row>
    <row r="273" ht="30" spans="1:10">
      <c r="A273" s="10">
        <v>271</v>
      </c>
      <c r="B273" s="38" t="s">
        <v>211</v>
      </c>
      <c r="C273" s="10" t="s">
        <v>881</v>
      </c>
      <c r="D273" s="12" t="s">
        <v>882</v>
      </c>
      <c r="E273" s="20"/>
      <c r="F273" s="20"/>
      <c r="G273" s="13" t="s">
        <v>16</v>
      </c>
      <c r="H273" s="20"/>
      <c r="I273" s="23">
        <f>256*0.3</f>
        <v>76.8</v>
      </c>
      <c r="J273" s="16" t="s">
        <v>359</v>
      </c>
    </row>
    <row r="274" ht="42.75" spans="1:10">
      <c r="A274" s="10">
        <v>272</v>
      </c>
      <c r="B274" s="38" t="s">
        <v>211</v>
      </c>
      <c r="C274" s="10" t="s">
        <v>883</v>
      </c>
      <c r="D274" s="12" t="s">
        <v>884</v>
      </c>
      <c r="E274" s="22" t="s">
        <v>885</v>
      </c>
      <c r="F274" s="22" t="s">
        <v>886</v>
      </c>
      <c r="G274" s="13" t="s">
        <v>369</v>
      </c>
      <c r="H274" s="22" t="s">
        <v>887</v>
      </c>
      <c r="I274" s="29">
        <v>1031.56</v>
      </c>
      <c r="J274" s="16" t="s">
        <v>359</v>
      </c>
    </row>
    <row r="275" ht="30" spans="1:10">
      <c r="A275" s="10">
        <v>273</v>
      </c>
      <c r="B275" s="38" t="s">
        <v>211</v>
      </c>
      <c r="C275" s="10" t="s">
        <v>888</v>
      </c>
      <c r="D275" s="12" t="s">
        <v>889</v>
      </c>
      <c r="E275" s="20"/>
      <c r="F275" s="20"/>
      <c r="G275" s="13" t="s">
        <v>369</v>
      </c>
      <c r="H275" s="22"/>
      <c r="I275" s="23">
        <f>1032*0.3</f>
        <v>309.6</v>
      </c>
      <c r="J275" s="16" t="s">
        <v>359</v>
      </c>
    </row>
    <row r="276" ht="57" spans="1:10">
      <c r="A276" s="10">
        <v>274</v>
      </c>
      <c r="B276" s="38" t="s">
        <v>211</v>
      </c>
      <c r="C276" s="10" t="s">
        <v>890</v>
      </c>
      <c r="D276" s="12" t="s">
        <v>891</v>
      </c>
      <c r="E276" s="22" t="s">
        <v>892</v>
      </c>
      <c r="F276" s="22" t="s">
        <v>893</v>
      </c>
      <c r="G276" s="13" t="s">
        <v>16</v>
      </c>
      <c r="H276" s="20"/>
      <c r="I276" s="29">
        <v>1450</v>
      </c>
      <c r="J276" s="16" t="s">
        <v>359</v>
      </c>
    </row>
    <row r="277" ht="30" spans="1:10">
      <c r="A277" s="10">
        <v>275</v>
      </c>
      <c r="B277" s="38" t="s">
        <v>211</v>
      </c>
      <c r="C277" s="10" t="s">
        <v>894</v>
      </c>
      <c r="D277" s="12" t="s">
        <v>895</v>
      </c>
      <c r="E277" s="20"/>
      <c r="F277" s="33"/>
      <c r="G277" s="13" t="s">
        <v>16</v>
      </c>
      <c r="H277" s="20"/>
      <c r="I277" s="23">
        <f>1450*0.3</f>
        <v>435</v>
      </c>
      <c r="J277" s="16" t="s">
        <v>359</v>
      </c>
    </row>
    <row r="278" ht="44.25" spans="1:10">
      <c r="A278" s="10">
        <v>276</v>
      </c>
      <c r="B278" s="38" t="s">
        <v>211</v>
      </c>
      <c r="C278" s="10" t="s">
        <v>896</v>
      </c>
      <c r="D278" s="12" t="s">
        <v>897</v>
      </c>
      <c r="E278" s="22" t="s">
        <v>898</v>
      </c>
      <c r="F278" s="34" t="s">
        <v>899</v>
      </c>
      <c r="G278" s="13" t="s">
        <v>790</v>
      </c>
      <c r="H278" s="22" t="s">
        <v>900</v>
      </c>
      <c r="I278" s="29">
        <v>523</v>
      </c>
      <c r="J278" s="16" t="s">
        <v>359</v>
      </c>
    </row>
    <row r="279" ht="15.75" spans="1:10">
      <c r="A279" s="10">
        <v>277</v>
      </c>
      <c r="B279" s="38" t="s">
        <v>211</v>
      </c>
      <c r="C279" s="10" t="s">
        <v>901</v>
      </c>
      <c r="D279" s="12" t="s">
        <v>902</v>
      </c>
      <c r="E279" s="20"/>
      <c r="F279" s="20"/>
      <c r="G279" s="13" t="s">
        <v>790</v>
      </c>
      <c r="H279" s="20"/>
      <c r="I279" s="23">
        <f>523*0.3</f>
        <v>156.9</v>
      </c>
      <c r="J279" s="16" t="s">
        <v>359</v>
      </c>
    </row>
    <row r="280" ht="42.75" spans="1:10">
      <c r="A280" s="10">
        <v>278</v>
      </c>
      <c r="B280" s="38" t="s">
        <v>211</v>
      </c>
      <c r="C280" s="10" t="s">
        <v>903</v>
      </c>
      <c r="D280" s="12" t="s">
        <v>904</v>
      </c>
      <c r="E280" s="22" t="s">
        <v>905</v>
      </c>
      <c r="F280" s="22" t="s">
        <v>906</v>
      </c>
      <c r="G280" s="13" t="s">
        <v>369</v>
      </c>
      <c r="H280" s="20"/>
      <c r="I280" s="29">
        <v>1535.04</v>
      </c>
      <c r="J280" s="16" t="s">
        <v>359</v>
      </c>
    </row>
    <row r="281" ht="15.75" spans="1:10">
      <c r="A281" s="10">
        <v>279</v>
      </c>
      <c r="B281" s="38" t="s">
        <v>211</v>
      </c>
      <c r="C281" s="10" t="s">
        <v>907</v>
      </c>
      <c r="D281" s="12" t="s">
        <v>908</v>
      </c>
      <c r="E281" s="20"/>
      <c r="F281" s="20"/>
      <c r="G281" s="13" t="s">
        <v>369</v>
      </c>
      <c r="H281" s="20"/>
      <c r="I281" s="23">
        <f>1535*0.3</f>
        <v>460.5</v>
      </c>
      <c r="J281" s="16" t="s">
        <v>359</v>
      </c>
    </row>
    <row r="282" ht="42.75" spans="1:10">
      <c r="A282" s="10">
        <v>280</v>
      </c>
      <c r="B282" s="38" t="s">
        <v>211</v>
      </c>
      <c r="C282" s="96" t="s">
        <v>909</v>
      </c>
      <c r="D282" s="12" t="s">
        <v>910</v>
      </c>
      <c r="E282" s="22" t="s">
        <v>911</v>
      </c>
      <c r="F282" s="22" t="s">
        <v>912</v>
      </c>
      <c r="G282" s="13" t="s">
        <v>369</v>
      </c>
      <c r="H282" s="20" t="s">
        <v>913</v>
      </c>
      <c r="I282" s="29">
        <v>900</v>
      </c>
      <c r="J282" s="16" t="s">
        <v>359</v>
      </c>
    </row>
    <row r="283" ht="30" spans="1:10">
      <c r="A283" s="10">
        <v>281</v>
      </c>
      <c r="B283" s="38" t="s">
        <v>211</v>
      </c>
      <c r="C283" s="10" t="s">
        <v>914</v>
      </c>
      <c r="D283" s="12" t="s">
        <v>915</v>
      </c>
      <c r="E283" s="20"/>
      <c r="F283" s="20"/>
      <c r="G283" s="13" t="s">
        <v>369</v>
      </c>
      <c r="H283" s="20"/>
      <c r="I283" s="23">
        <f>900*0.3</f>
        <v>270</v>
      </c>
      <c r="J283" s="16" t="s">
        <v>359</v>
      </c>
    </row>
    <row r="284" ht="42.75" spans="1:10">
      <c r="A284" s="10">
        <v>282</v>
      </c>
      <c r="B284" s="38" t="s">
        <v>211</v>
      </c>
      <c r="C284" s="96" t="s">
        <v>916</v>
      </c>
      <c r="D284" s="12" t="s">
        <v>917</v>
      </c>
      <c r="E284" s="22" t="s">
        <v>918</v>
      </c>
      <c r="F284" s="22" t="s">
        <v>919</v>
      </c>
      <c r="G284" s="13" t="s">
        <v>369</v>
      </c>
      <c r="H284" s="20" t="s">
        <v>913</v>
      </c>
      <c r="I284" s="29">
        <v>900</v>
      </c>
      <c r="J284" s="16" t="s">
        <v>359</v>
      </c>
    </row>
    <row r="285" ht="30" spans="1:10">
      <c r="A285" s="10">
        <v>283</v>
      </c>
      <c r="B285" s="38" t="s">
        <v>211</v>
      </c>
      <c r="C285" s="10" t="s">
        <v>920</v>
      </c>
      <c r="D285" s="12" t="s">
        <v>921</v>
      </c>
      <c r="E285" s="20"/>
      <c r="F285" s="20"/>
      <c r="G285" s="13" t="s">
        <v>369</v>
      </c>
      <c r="H285" s="20"/>
      <c r="I285" s="23">
        <f>900*0.3</f>
        <v>270</v>
      </c>
      <c r="J285" s="16" t="s">
        <v>359</v>
      </c>
    </row>
    <row r="286" ht="42.75" spans="1:10">
      <c r="A286" s="10">
        <v>284</v>
      </c>
      <c r="B286" s="38" t="s">
        <v>211</v>
      </c>
      <c r="C286" s="10" t="s">
        <v>922</v>
      </c>
      <c r="D286" s="12" t="s">
        <v>923</v>
      </c>
      <c r="E286" s="22" t="s">
        <v>924</v>
      </c>
      <c r="F286" s="22" t="s">
        <v>925</v>
      </c>
      <c r="G286" s="13" t="s">
        <v>369</v>
      </c>
      <c r="H286" s="20"/>
      <c r="I286" s="29">
        <v>1279.2</v>
      </c>
      <c r="J286" s="16" t="s">
        <v>359</v>
      </c>
    </row>
    <row r="287" ht="30" spans="1:10">
      <c r="A287" s="10">
        <v>285</v>
      </c>
      <c r="B287" s="38" t="s">
        <v>211</v>
      </c>
      <c r="C287" s="10" t="s">
        <v>926</v>
      </c>
      <c r="D287" s="12" t="s">
        <v>927</v>
      </c>
      <c r="E287" s="20"/>
      <c r="F287" s="20"/>
      <c r="G287" s="13" t="s">
        <v>369</v>
      </c>
      <c r="H287" s="20"/>
      <c r="I287" s="23">
        <f>1279*0.3</f>
        <v>383.7</v>
      </c>
      <c r="J287" s="16" t="s">
        <v>359</v>
      </c>
    </row>
    <row r="288" ht="42.75" spans="1:10">
      <c r="A288" s="10">
        <v>286</v>
      </c>
      <c r="B288" s="38" t="s">
        <v>211</v>
      </c>
      <c r="C288" s="10" t="s">
        <v>928</v>
      </c>
      <c r="D288" s="12" t="s">
        <v>929</v>
      </c>
      <c r="E288" s="22" t="s">
        <v>930</v>
      </c>
      <c r="F288" s="22" t="s">
        <v>931</v>
      </c>
      <c r="G288" s="13" t="s">
        <v>369</v>
      </c>
      <c r="H288" s="20" t="s">
        <v>932</v>
      </c>
      <c r="I288" s="29">
        <v>1279.2</v>
      </c>
      <c r="J288" s="16" t="s">
        <v>359</v>
      </c>
    </row>
    <row r="289" ht="30" spans="1:10">
      <c r="A289" s="10">
        <v>287</v>
      </c>
      <c r="B289" s="38" t="s">
        <v>211</v>
      </c>
      <c r="C289" s="10" t="s">
        <v>933</v>
      </c>
      <c r="D289" s="12" t="s">
        <v>934</v>
      </c>
      <c r="E289" s="20"/>
      <c r="F289" s="20"/>
      <c r="G289" s="13" t="s">
        <v>369</v>
      </c>
      <c r="H289" s="20"/>
      <c r="I289" s="23">
        <f>1279*0.3</f>
        <v>383.7</v>
      </c>
      <c r="J289" s="16" t="s">
        <v>359</v>
      </c>
    </row>
    <row r="290" ht="42.75" spans="1:10">
      <c r="A290" s="10">
        <v>288</v>
      </c>
      <c r="B290" s="38" t="s">
        <v>211</v>
      </c>
      <c r="C290" s="10" t="s">
        <v>935</v>
      </c>
      <c r="D290" s="12" t="s">
        <v>936</v>
      </c>
      <c r="E290" s="22" t="s">
        <v>937</v>
      </c>
      <c r="F290" s="22" t="s">
        <v>938</v>
      </c>
      <c r="G290" s="13" t="s">
        <v>369</v>
      </c>
      <c r="H290" s="40"/>
      <c r="I290" s="29">
        <v>191.88</v>
      </c>
      <c r="J290" s="16" t="s">
        <v>359</v>
      </c>
    </row>
    <row r="291" ht="30" spans="1:10">
      <c r="A291" s="10">
        <v>289</v>
      </c>
      <c r="B291" s="38" t="s">
        <v>211</v>
      </c>
      <c r="C291" s="10" t="s">
        <v>939</v>
      </c>
      <c r="D291" s="12" t="s">
        <v>940</v>
      </c>
      <c r="E291" s="14"/>
      <c r="F291" s="14"/>
      <c r="G291" s="13" t="s">
        <v>369</v>
      </c>
      <c r="H291" s="14"/>
      <c r="I291" s="23">
        <f>192*0.3</f>
        <v>57.6</v>
      </c>
      <c r="J291" s="16" t="s">
        <v>359</v>
      </c>
    </row>
    <row r="292" ht="42.75" spans="1:10">
      <c r="A292" s="10">
        <v>290</v>
      </c>
      <c r="B292" s="10" t="s">
        <v>177</v>
      </c>
      <c r="C292" s="96" t="s">
        <v>941</v>
      </c>
      <c r="D292" s="12" t="s">
        <v>942</v>
      </c>
      <c r="E292" s="12" t="s">
        <v>943</v>
      </c>
      <c r="F292" s="12" t="s">
        <v>358</v>
      </c>
      <c r="G292" s="13" t="s">
        <v>16</v>
      </c>
      <c r="H292" s="14"/>
      <c r="I292" s="29">
        <v>5</v>
      </c>
      <c r="J292" s="16" t="s">
        <v>359</v>
      </c>
    </row>
    <row r="293" ht="42.75" spans="1:10">
      <c r="A293" s="10">
        <v>291</v>
      </c>
      <c r="B293" s="10" t="s">
        <v>177</v>
      </c>
      <c r="C293" s="10" t="s">
        <v>944</v>
      </c>
      <c r="D293" s="12" t="s">
        <v>945</v>
      </c>
      <c r="E293" s="12" t="s">
        <v>946</v>
      </c>
      <c r="F293" s="12" t="s">
        <v>358</v>
      </c>
      <c r="G293" s="13" t="s">
        <v>16</v>
      </c>
      <c r="H293" s="14"/>
      <c r="I293" s="29">
        <v>47</v>
      </c>
      <c r="J293" s="16" t="s">
        <v>359</v>
      </c>
    </row>
    <row r="294" ht="45.75" spans="1:10">
      <c r="A294" s="10">
        <v>292</v>
      </c>
      <c r="B294" s="10" t="s">
        <v>177</v>
      </c>
      <c r="C294" s="10" t="s">
        <v>947</v>
      </c>
      <c r="D294" s="12" t="s">
        <v>948</v>
      </c>
      <c r="E294" s="12" t="s">
        <v>949</v>
      </c>
      <c r="F294" s="12" t="s">
        <v>358</v>
      </c>
      <c r="G294" s="13" t="s">
        <v>16</v>
      </c>
      <c r="H294" s="12" t="s">
        <v>950</v>
      </c>
      <c r="I294" s="29">
        <v>187</v>
      </c>
      <c r="J294" s="16" t="s">
        <v>359</v>
      </c>
    </row>
    <row r="295" ht="42.75" spans="1:10">
      <c r="A295" s="10">
        <v>293</v>
      </c>
      <c r="B295" s="10" t="s">
        <v>177</v>
      </c>
      <c r="C295" s="10" t="s">
        <v>951</v>
      </c>
      <c r="D295" s="12" t="s">
        <v>952</v>
      </c>
      <c r="E295" s="12" t="s">
        <v>953</v>
      </c>
      <c r="F295" s="12" t="s">
        <v>358</v>
      </c>
      <c r="G295" s="13" t="s">
        <v>16</v>
      </c>
      <c r="H295" s="14"/>
      <c r="I295" s="29">
        <v>76.26</v>
      </c>
      <c r="J295" s="16" t="s">
        <v>359</v>
      </c>
    </row>
    <row r="296" ht="42.75" spans="1:10">
      <c r="A296" s="10">
        <v>294</v>
      </c>
      <c r="B296" s="10" t="s">
        <v>177</v>
      </c>
      <c r="C296" s="10" t="s">
        <v>954</v>
      </c>
      <c r="D296" s="12" t="s">
        <v>955</v>
      </c>
      <c r="E296" s="12" t="s">
        <v>956</v>
      </c>
      <c r="F296" s="12" t="s">
        <v>957</v>
      </c>
      <c r="G296" s="13" t="s">
        <v>16</v>
      </c>
      <c r="H296" s="14"/>
      <c r="I296" s="28">
        <v>101.68</v>
      </c>
      <c r="J296" s="16" t="s">
        <v>359</v>
      </c>
    </row>
    <row r="297" ht="30" spans="1:10">
      <c r="A297" s="10">
        <v>295</v>
      </c>
      <c r="B297" s="10" t="s">
        <v>177</v>
      </c>
      <c r="C297" s="10" t="s">
        <v>958</v>
      </c>
      <c r="D297" s="12" t="s">
        <v>959</v>
      </c>
      <c r="E297" s="14"/>
      <c r="F297" s="14"/>
      <c r="G297" s="13" t="s">
        <v>16</v>
      </c>
      <c r="H297" s="14"/>
      <c r="I297" s="28">
        <v>101.68</v>
      </c>
      <c r="J297" s="16" t="s">
        <v>359</v>
      </c>
    </row>
    <row r="298" ht="42.75" spans="1:10">
      <c r="A298" s="10">
        <v>296</v>
      </c>
      <c r="B298" s="10" t="s">
        <v>177</v>
      </c>
      <c r="C298" s="10" t="s">
        <v>960</v>
      </c>
      <c r="D298" s="12" t="s">
        <v>961</v>
      </c>
      <c r="E298" s="12" t="s">
        <v>962</v>
      </c>
      <c r="F298" s="12" t="s">
        <v>963</v>
      </c>
      <c r="G298" s="13" t="s">
        <v>16</v>
      </c>
      <c r="H298" s="14"/>
      <c r="I298" s="28">
        <v>19</v>
      </c>
      <c r="J298" s="16" t="s">
        <v>359</v>
      </c>
    </row>
    <row r="299" ht="42.75" spans="1:10">
      <c r="A299" s="10">
        <v>297</v>
      </c>
      <c r="B299" s="10" t="s">
        <v>177</v>
      </c>
      <c r="C299" s="10" t="s">
        <v>964</v>
      </c>
      <c r="D299" s="12" t="s">
        <v>965</v>
      </c>
      <c r="E299" s="12" t="s">
        <v>966</v>
      </c>
      <c r="F299" s="12" t="s">
        <v>967</v>
      </c>
      <c r="G299" s="13" t="s">
        <v>16</v>
      </c>
      <c r="H299" s="14"/>
      <c r="I299" s="28">
        <v>92.66</v>
      </c>
      <c r="J299" s="16" t="s">
        <v>359</v>
      </c>
    </row>
    <row r="300" ht="42.75" spans="1:10">
      <c r="A300" s="10">
        <v>298</v>
      </c>
      <c r="B300" s="10" t="s">
        <v>177</v>
      </c>
      <c r="C300" s="10" t="s">
        <v>968</v>
      </c>
      <c r="D300" s="12" t="s">
        <v>969</v>
      </c>
      <c r="E300" s="12" t="s">
        <v>970</v>
      </c>
      <c r="F300" s="12" t="s">
        <v>971</v>
      </c>
      <c r="G300" s="13" t="s">
        <v>16</v>
      </c>
      <c r="H300" s="14"/>
      <c r="I300" s="28">
        <v>57</v>
      </c>
      <c r="J300" s="16" t="s">
        <v>359</v>
      </c>
    </row>
    <row r="301" ht="42.75" spans="1:10">
      <c r="A301" s="10">
        <v>299</v>
      </c>
      <c r="B301" s="10" t="s">
        <v>11</v>
      </c>
      <c r="C301" s="10" t="s">
        <v>972</v>
      </c>
      <c r="D301" s="12" t="s">
        <v>973</v>
      </c>
      <c r="E301" s="12" t="s">
        <v>974</v>
      </c>
      <c r="F301" s="12" t="s">
        <v>436</v>
      </c>
      <c r="G301" s="13" t="s">
        <v>16</v>
      </c>
      <c r="H301" s="41"/>
      <c r="I301" s="28">
        <v>49.2</v>
      </c>
      <c r="J301" s="16" t="s">
        <v>359</v>
      </c>
    </row>
    <row r="302" ht="30" spans="1:10">
      <c r="A302" s="10">
        <v>300</v>
      </c>
      <c r="B302" s="10" t="s">
        <v>11</v>
      </c>
      <c r="C302" s="10" t="s">
        <v>975</v>
      </c>
      <c r="D302" s="12" t="s">
        <v>976</v>
      </c>
      <c r="E302" s="14"/>
      <c r="F302" s="14"/>
      <c r="G302" s="13" t="s">
        <v>16</v>
      </c>
      <c r="H302" s="14"/>
      <c r="I302" s="30">
        <f>49*0.3</f>
        <v>14.7</v>
      </c>
      <c r="J302" s="16" t="s">
        <v>359</v>
      </c>
    </row>
    <row r="303" ht="42.75" spans="1:10">
      <c r="A303" s="10">
        <v>301</v>
      </c>
      <c r="B303" s="10" t="s">
        <v>211</v>
      </c>
      <c r="C303" s="10" t="s">
        <v>977</v>
      </c>
      <c r="D303" s="12" t="s">
        <v>978</v>
      </c>
      <c r="E303" s="12" t="s">
        <v>979</v>
      </c>
      <c r="F303" s="12" t="s">
        <v>980</v>
      </c>
      <c r="G303" s="13" t="s">
        <v>16</v>
      </c>
      <c r="H303" s="14"/>
      <c r="I303" s="28">
        <v>213.2</v>
      </c>
      <c r="J303" s="16" t="s">
        <v>359</v>
      </c>
    </row>
    <row r="304" ht="30" spans="1:10">
      <c r="A304" s="10">
        <v>302</v>
      </c>
      <c r="B304" s="10" t="s">
        <v>211</v>
      </c>
      <c r="C304" s="10" t="s">
        <v>981</v>
      </c>
      <c r="D304" s="12" t="s">
        <v>982</v>
      </c>
      <c r="E304" s="14"/>
      <c r="F304" s="31"/>
      <c r="G304" s="13" t="s">
        <v>16</v>
      </c>
      <c r="H304" s="14"/>
      <c r="I304" s="30">
        <f>213*0.3</f>
        <v>63.9</v>
      </c>
      <c r="J304" s="16" t="s">
        <v>359</v>
      </c>
    </row>
    <row r="305" ht="42.75" spans="1:10">
      <c r="A305" s="10">
        <v>303</v>
      </c>
      <c r="B305" s="10" t="s">
        <v>11</v>
      </c>
      <c r="C305" s="10" t="s">
        <v>983</v>
      </c>
      <c r="D305" s="12" t="s">
        <v>984</v>
      </c>
      <c r="E305" s="12" t="s">
        <v>985</v>
      </c>
      <c r="F305" s="32" t="s">
        <v>449</v>
      </c>
      <c r="G305" s="13" t="s">
        <v>16</v>
      </c>
      <c r="H305" s="12" t="s">
        <v>986</v>
      </c>
      <c r="I305" s="28">
        <v>20.5</v>
      </c>
      <c r="J305" s="16" t="s">
        <v>359</v>
      </c>
    </row>
    <row r="306" ht="30" spans="1:10">
      <c r="A306" s="10">
        <v>304</v>
      </c>
      <c r="B306" s="10" t="s">
        <v>11</v>
      </c>
      <c r="C306" s="10" t="s">
        <v>987</v>
      </c>
      <c r="D306" s="12" t="s">
        <v>988</v>
      </c>
      <c r="E306" s="14"/>
      <c r="F306" s="31"/>
      <c r="G306" s="39" t="s">
        <v>16</v>
      </c>
      <c r="H306" s="14"/>
      <c r="I306" s="30">
        <f>21*0.3</f>
        <v>6.3</v>
      </c>
      <c r="J306" s="16" t="s">
        <v>359</v>
      </c>
    </row>
    <row r="307" ht="78.75" spans="1:10">
      <c r="A307" s="10">
        <v>305</v>
      </c>
      <c r="B307" s="10" t="s">
        <v>11</v>
      </c>
      <c r="C307" s="10" t="s">
        <v>989</v>
      </c>
      <c r="D307" s="12" t="s">
        <v>990</v>
      </c>
      <c r="E307" s="12" t="s">
        <v>991</v>
      </c>
      <c r="F307" s="32" t="s">
        <v>449</v>
      </c>
      <c r="G307" s="39" t="s">
        <v>16</v>
      </c>
      <c r="H307" s="14" t="s">
        <v>992</v>
      </c>
      <c r="I307" s="28">
        <v>139.4</v>
      </c>
      <c r="J307" s="16" t="s">
        <v>359</v>
      </c>
    </row>
    <row r="308" ht="30" spans="1:10">
      <c r="A308" s="10">
        <v>306</v>
      </c>
      <c r="B308" s="10" t="s">
        <v>11</v>
      </c>
      <c r="C308" s="10" t="s">
        <v>993</v>
      </c>
      <c r="D308" s="12" t="s">
        <v>994</v>
      </c>
      <c r="E308" s="14"/>
      <c r="F308" s="31"/>
      <c r="G308" s="13" t="s">
        <v>16</v>
      </c>
      <c r="H308" s="31"/>
      <c r="I308" s="30">
        <f>139*0.3</f>
        <v>41.7</v>
      </c>
      <c r="J308" s="16" t="s">
        <v>359</v>
      </c>
    </row>
    <row r="309" ht="42.75" spans="1:10">
      <c r="A309" s="10">
        <v>307</v>
      </c>
      <c r="B309" s="10" t="s">
        <v>11</v>
      </c>
      <c r="C309" s="10" t="s">
        <v>995</v>
      </c>
      <c r="D309" s="12" t="s">
        <v>996</v>
      </c>
      <c r="E309" s="12" t="s">
        <v>997</v>
      </c>
      <c r="F309" s="32" t="s">
        <v>998</v>
      </c>
      <c r="G309" s="13" t="s">
        <v>16</v>
      </c>
      <c r="H309" s="42"/>
      <c r="I309" s="28">
        <v>96</v>
      </c>
      <c r="J309" s="16" t="s">
        <v>359</v>
      </c>
    </row>
    <row r="310" ht="30" spans="1:10">
      <c r="A310" s="10">
        <v>308</v>
      </c>
      <c r="B310" s="10" t="s">
        <v>11</v>
      </c>
      <c r="C310" s="10" t="s">
        <v>999</v>
      </c>
      <c r="D310" s="12" t="s">
        <v>1000</v>
      </c>
      <c r="E310" s="14"/>
      <c r="F310" s="14"/>
      <c r="G310" s="13" t="s">
        <v>16</v>
      </c>
      <c r="H310" s="14"/>
      <c r="I310" s="30">
        <f>96*0.3</f>
        <v>28.8</v>
      </c>
      <c r="J310" s="16" t="s">
        <v>359</v>
      </c>
    </row>
    <row r="311" ht="42.75" spans="1:10">
      <c r="A311" s="10">
        <v>309</v>
      </c>
      <c r="B311" s="10" t="s">
        <v>211</v>
      </c>
      <c r="C311" s="10" t="s">
        <v>1001</v>
      </c>
      <c r="D311" s="12" t="s">
        <v>1002</v>
      </c>
      <c r="E311" s="12" t="s">
        <v>1003</v>
      </c>
      <c r="F311" s="12" t="s">
        <v>1004</v>
      </c>
      <c r="G311" s="98" t="s">
        <v>16</v>
      </c>
      <c r="H311" s="14"/>
      <c r="I311" s="28">
        <v>1300.52</v>
      </c>
      <c r="J311" s="16" t="s">
        <v>359</v>
      </c>
    </row>
    <row r="312" ht="30" spans="1:10">
      <c r="A312" s="10">
        <v>310</v>
      </c>
      <c r="B312" s="10" t="s">
        <v>211</v>
      </c>
      <c r="C312" s="10" t="s">
        <v>1005</v>
      </c>
      <c r="D312" s="12" t="s">
        <v>1006</v>
      </c>
      <c r="E312" s="14"/>
      <c r="F312" s="14"/>
      <c r="G312" s="98" t="s">
        <v>16</v>
      </c>
      <c r="H312" s="14"/>
      <c r="I312" s="30">
        <f>1301*0.3</f>
        <v>390.3</v>
      </c>
      <c r="J312" s="16" t="s">
        <v>359</v>
      </c>
    </row>
    <row r="313" ht="42.75" spans="1:10">
      <c r="A313" s="10">
        <v>311</v>
      </c>
      <c r="B313" s="10" t="s">
        <v>211</v>
      </c>
      <c r="C313" s="10" t="s">
        <v>1007</v>
      </c>
      <c r="D313" s="12" t="s">
        <v>1008</v>
      </c>
      <c r="E313" s="12" t="s">
        <v>1009</v>
      </c>
      <c r="F313" s="12" t="s">
        <v>1004</v>
      </c>
      <c r="G313" s="98" t="s">
        <v>16</v>
      </c>
      <c r="H313" s="14"/>
      <c r="I313" s="28">
        <v>2375</v>
      </c>
      <c r="J313" s="16" t="s">
        <v>359</v>
      </c>
    </row>
    <row r="314" ht="30" spans="1:10">
      <c r="A314" s="10">
        <v>312</v>
      </c>
      <c r="B314" s="10" t="s">
        <v>211</v>
      </c>
      <c r="C314" s="10" t="s">
        <v>1010</v>
      </c>
      <c r="D314" s="12" t="s">
        <v>1011</v>
      </c>
      <c r="E314" s="14"/>
      <c r="F314" s="14"/>
      <c r="G314" s="98" t="s">
        <v>16</v>
      </c>
      <c r="H314" s="14"/>
      <c r="I314" s="30">
        <f>2375*0.3</f>
        <v>712.5</v>
      </c>
      <c r="J314" s="16" t="s">
        <v>359</v>
      </c>
    </row>
    <row r="315" ht="42.75" spans="1:10">
      <c r="A315" s="10">
        <v>313</v>
      </c>
      <c r="B315" s="10" t="s">
        <v>211</v>
      </c>
      <c r="C315" s="10" t="s">
        <v>1012</v>
      </c>
      <c r="D315" s="12" t="s">
        <v>1013</v>
      </c>
      <c r="E315" s="12" t="s">
        <v>1014</v>
      </c>
      <c r="F315" s="12" t="s">
        <v>1015</v>
      </c>
      <c r="G315" s="13" t="s">
        <v>16</v>
      </c>
      <c r="H315" s="14"/>
      <c r="I315" s="28">
        <v>2132</v>
      </c>
      <c r="J315" s="16" t="s">
        <v>359</v>
      </c>
    </row>
    <row r="316" ht="30" spans="1:10">
      <c r="A316" s="10">
        <v>314</v>
      </c>
      <c r="B316" s="10" t="s">
        <v>211</v>
      </c>
      <c r="C316" s="10" t="s">
        <v>1016</v>
      </c>
      <c r="D316" s="12" t="s">
        <v>1017</v>
      </c>
      <c r="E316" s="14"/>
      <c r="F316" s="14"/>
      <c r="G316" s="13" t="s">
        <v>16</v>
      </c>
      <c r="H316" s="14"/>
      <c r="I316" s="30">
        <f>2132*0.3</f>
        <v>639.6</v>
      </c>
      <c r="J316" s="16" t="s">
        <v>359</v>
      </c>
    </row>
    <row r="317" ht="42.75" spans="1:10">
      <c r="A317" s="10">
        <v>315</v>
      </c>
      <c r="B317" s="10" t="s">
        <v>211</v>
      </c>
      <c r="C317" s="10" t="s">
        <v>1018</v>
      </c>
      <c r="D317" s="12" t="s">
        <v>1019</v>
      </c>
      <c r="E317" s="12" t="s">
        <v>1020</v>
      </c>
      <c r="F317" s="12" t="s">
        <v>1015</v>
      </c>
      <c r="G317" s="13" t="s">
        <v>16</v>
      </c>
      <c r="H317" s="14"/>
      <c r="I317" s="28">
        <v>2405.06</v>
      </c>
      <c r="J317" s="16" t="s">
        <v>359</v>
      </c>
    </row>
    <row r="318" ht="30" spans="1:10">
      <c r="A318" s="10">
        <v>316</v>
      </c>
      <c r="B318" s="10" t="s">
        <v>211</v>
      </c>
      <c r="C318" s="10" t="s">
        <v>1021</v>
      </c>
      <c r="D318" s="12" t="s">
        <v>1022</v>
      </c>
      <c r="E318" s="14"/>
      <c r="F318" s="14"/>
      <c r="G318" s="13" t="s">
        <v>16</v>
      </c>
      <c r="H318" s="14"/>
      <c r="I318" s="30">
        <f>2405*0.3</f>
        <v>721.5</v>
      </c>
      <c r="J318" s="16" t="s">
        <v>359</v>
      </c>
    </row>
    <row r="319" ht="30" spans="1:10">
      <c r="A319" s="10">
        <v>317</v>
      </c>
      <c r="B319" s="10" t="s">
        <v>211</v>
      </c>
      <c r="C319" s="10" t="s">
        <v>1023</v>
      </c>
      <c r="D319" s="12" t="s">
        <v>1024</v>
      </c>
      <c r="E319" s="14"/>
      <c r="F319" s="14"/>
      <c r="G319" s="13" t="s">
        <v>16</v>
      </c>
      <c r="H319" s="14"/>
      <c r="I319" s="28">
        <v>721.6</v>
      </c>
      <c r="J319" s="16" t="s">
        <v>359</v>
      </c>
    </row>
    <row r="320" ht="42.75" spans="1:10">
      <c r="A320" s="10">
        <v>318</v>
      </c>
      <c r="B320" s="10" t="s">
        <v>211</v>
      </c>
      <c r="C320" s="10" t="s">
        <v>1025</v>
      </c>
      <c r="D320" s="12" t="s">
        <v>1026</v>
      </c>
      <c r="E320" s="12" t="s">
        <v>1027</v>
      </c>
      <c r="F320" s="12" t="s">
        <v>1028</v>
      </c>
      <c r="G320" s="98" t="s">
        <v>16</v>
      </c>
      <c r="H320" s="14"/>
      <c r="I320" s="28">
        <v>1586</v>
      </c>
      <c r="J320" s="16" t="s">
        <v>359</v>
      </c>
    </row>
    <row r="321" ht="30" spans="1:10">
      <c r="A321" s="10">
        <v>319</v>
      </c>
      <c r="B321" s="10" t="s">
        <v>211</v>
      </c>
      <c r="C321" s="10" t="s">
        <v>1029</v>
      </c>
      <c r="D321" s="12" t="s">
        <v>1030</v>
      </c>
      <c r="E321" s="14"/>
      <c r="F321" s="14"/>
      <c r="G321" s="98" t="s">
        <v>16</v>
      </c>
      <c r="H321" s="14"/>
      <c r="I321" s="30">
        <f>1586*0.3</f>
        <v>475.8</v>
      </c>
      <c r="J321" s="16" t="s">
        <v>359</v>
      </c>
    </row>
    <row r="322" ht="42.75" spans="1:10">
      <c r="A322" s="10">
        <v>320</v>
      </c>
      <c r="B322" s="10" t="s">
        <v>211</v>
      </c>
      <c r="C322" s="96" t="s">
        <v>1031</v>
      </c>
      <c r="D322" s="12" t="s">
        <v>1032</v>
      </c>
      <c r="E322" s="12" t="s">
        <v>1033</v>
      </c>
      <c r="F322" s="12" t="s">
        <v>1034</v>
      </c>
      <c r="G322" s="98" t="s">
        <v>16</v>
      </c>
      <c r="H322" s="14"/>
      <c r="I322" s="28">
        <v>2329.62</v>
      </c>
      <c r="J322" s="16" t="s">
        <v>359</v>
      </c>
    </row>
    <row r="323" ht="30" spans="1:10">
      <c r="A323" s="10">
        <v>321</v>
      </c>
      <c r="B323" s="10" t="s">
        <v>211</v>
      </c>
      <c r="C323" s="10" t="s">
        <v>1035</v>
      </c>
      <c r="D323" s="12" t="s">
        <v>1036</v>
      </c>
      <c r="E323" s="14"/>
      <c r="F323" s="14"/>
      <c r="G323" s="98" t="s">
        <v>16</v>
      </c>
      <c r="H323" s="14"/>
      <c r="I323" s="30">
        <f>2330*0.3</f>
        <v>699</v>
      </c>
      <c r="J323" s="16" t="s">
        <v>359</v>
      </c>
    </row>
    <row r="324" ht="42.75" spans="1:10">
      <c r="A324" s="10">
        <v>322</v>
      </c>
      <c r="B324" s="10" t="s">
        <v>211</v>
      </c>
      <c r="C324" s="10" t="s">
        <v>1037</v>
      </c>
      <c r="D324" s="12" t="s">
        <v>1038</v>
      </c>
      <c r="E324" s="12" t="s">
        <v>1039</v>
      </c>
      <c r="F324" s="12" t="s">
        <v>1034</v>
      </c>
      <c r="G324" s="98" t="s">
        <v>16</v>
      </c>
      <c r="H324" s="14"/>
      <c r="I324" s="28">
        <v>2537.08</v>
      </c>
      <c r="J324" s="16" t="s">
        <v>359</v>
      </c>
    </row>
    <row r="325" ht="30" spans="1:10">
      <c r="A325" s="10">
        <v>323</v>
      </c>
      <c r="B325" s="10" t="s">
        <v>211</v>
      </c>
      <c r="C325" s="10" t="s">
        <v>1040</v>
      </c>
      <c r="D325" s="12" t="s">
        <v>1041</v>
      </c>
      <c r="E325" s="14"/>
      <c r="F325" s="14"/>
      <c r="G325" s="98" t="s">
        <v>16</v>
      </c>
      <c r="H325" s="14"/>
      <c r="I325" s="30">
        <f>2537*0.3</f>
        <v>761.1</v>
      </c>
      <c r="J325" s="16" t="s">
        <v>359</v>
      </c>
    </row>
    <row r="326" ht="42.75" spans="1:10">
      <c r="A326" s="10">
        <v>324</v>
      </c>
      <c r="B326" s="10" t="s">
        <v>211</v>
      </c>
      <c r="C326" s="10" t="s">
        <v>1042</v>
      </c>
      <c r="D326" s="12" t="s">
        <v>1043</v>
      </c>
      <c r="E326" s="12" t="s">
        <v>1044</v>
      </c>
      <c r="F326" s="12" t="s">
        <v>1045</v>
      </c>
      <c r="G326" s="98" t="s">
        <v>16</v>
      </c>
      <c r="H326" s="14"/>
      <c r="I326" s="28">
        <v>2174.64</v>
      </c>
      <c r="J326" s="16" t="s">
        <v>359</v>
      </c>
    </row>
    <row r="327" ht="30" spans="1:10">
      <c r="A327" s="10">
        <v>325</v>
      </c>
      <c r="B327" s="10" t="s">
        <v>211</v>
      </c>
      <c r="C327" s="10" t="s">
        <v>1046</v>
      </c>
      <c r="D327" s="12" t="s">
        <v>1047</v>
      </c>
      <c r="E327" s="14"/>
      <c r="F327" s="14"/>
      <c r="G327" s="98" t="s">
        <v>16</v>
      </c>
      <c r="H327" s="14"/>
      <c r="I327" s="30">
        <f>2175*0.3</f>
        <v>652.5</v>
      </c>
      <c r="J327" s="16" t="s">
        <v>359</v>
      </c>
    </row>
    <row r="328" ht="42.75" spans="1:10">
      <c r="A328" s="10">
        <v>326</v>
      </c>
      <c r="B328" s="10" t="s">
        <v>211</v>
      </c>
      <c r="C328" s="10" t="s">
        <v>1048</v>
      </c>
      <c r="D328" s="12" t="s">
        <v>1049</v>
      </c>
      <c r="E328" s="12" t="s">
        <v>1050</v>
      </c>
      <c r="F328" s="12" t="s">
        <v>1051</v>
      </c>
      <c r="G328" s="98" t="s">
        <v>16</v>
      </c>
      <c r="H328" s="14"/>
      <c r="I328" s="28">
        <v>760</v>
      </c>
      <c r="J328" s="16" t="s">
        <v>359</v>
      </c>
    </row>
    <row r="329" ht="30" spans="1:10">
      <c r="A329" s="10">
        <v>327</v>
      </c>
      <c r="B329" s="10" t="s">
        <v>211</v>
      </c>
      <c r="C329" s="10" t="s">
        <v>1052</v>
      </c>
      <c r="D329" s="12" t="s">
        <v>1053</v>
      </c>
      <c r="E329" s="14"/>
      <c r="F329" s="14"/>
      <c r="G329" s="98" t="s">
        <v>16</v>
      </c>
      <c r="H329" s="14"/>
      <c r="I329" s="30">
        <f>760*0.3</f>
        <v>228</v>
      </c>
      <c r="J329" s="16" t="s">
        <v>359</v>
      </c>
    </row>
    <row r="330" ht="42.75" spans="1:10">
      <c r="A330" s="10">
        <v>328</v>
      </c>
      <c r="B330" s="10" t="s">
        <v>211</v>
      </c>
      <c r="C330" s="10" t="s">
        <v>1054</v>
      </c>
      <c r="D330" s="12" t="s">
        <v>1055</v>
      </c>
      <c r="E330" s="12" t="s">
        <v>1056</v>
      </c>
      <c r="F330" s="12" t="s">
        <v>1057</v>
      </c>
      <c r="G330" s="98" t="s">
        <v>16</v>
      </c>
      <c r="H330" s="14"/>
      <c r="I330" s="28">
        <v>852</v>
      </c>
      <c r="J330" s="16" t="s">
        <v>359</v>
      </c>
    </row>
    <row r="331" ht="15.75" spans="1:10">
      <c r="A331" s="10">
        <v>329</v>
      </c>
      <c r="B331" s="10" t="s">
        <v>211</v>
      </c>
      <c r="C331" s="10" t="s">
        <v>1058</v>
      </c>
      <c r="D331" s="12" t="s">
        <v>1059</v>
      </c>
      <c r="E331" s="14"/>
      <c r="F331" s="14"/>
      <c r="G331" s="98" t="s">
        <v>16</v>
      </c>
      <c r="H331" s="43"/>
      <c r="I331" s="30">
        <f>852*0.3</f>
        <v>255.6</v>
      </c>
      <c r="J331" s="16" t="s">
        <v>359</v>
      </c>
    </row>
    <row r="332" ht="42.75" spans="1:10">
      <c r="A332" s="10">
        <v>330</v>
      </c>
      <c r="B332" s="10" t="s">
        <v>211</v>
      </c>
      <c r="C332" s="10" t="s">
        <v>1060</v>
      </c>
      <c r="D332" s="12" t="s">
        <v>1061</v>
      </c>
      <c r="E332" s="12" t="s">
        <v>1062</v>
      </c>
      <c r="F332" s="12" t="s">
        <v>1063</v>
      </c>
      <c r="G332" s="13" t="s">
        <v>16</v>
      </c>
      <c r="H332" s="43"/>
      <c r="I332" s="28">
        <v>760</v>
      </c>
      <c r="J332" s="16" t="s">
        <v>359</v>
      </c>
    </row>
    <row r="333" ht="15.75" spans="1:10">
      <c r="A333" s="10">
        <v>331</v>
      </c>
      <c r="B333" s="10" t="s">
        <v>211</v>
      </c>
      <c r="C333" s="10" t="s">
        <v>1064</v>
      </c>
      <c r="D333" s="12" t="s">
        <v>1065</v>
      </c>
      <c r="E333" s="14"/>
      <c r="F333" s="14"/>
      <c r="G333" s="13" t="s">
        <v>16</v>
      </c>
      <c r="H333" s="14"/>
      <c r="I333" s="30">
        <f>760*0.3</f>
        <v>228</v>
      </c>
      <c r="J333" s="16" t="s">
        <v>359</v>
      </c>
    </row>
    <row r="334" ht="42.75" spans="1:10">
      <c r="A334" s="10">
        <v>332</v>
      </c>
      <c r="B334" s="10" t="s">
        <v>211</v>
      </c>
      <c r="C334" s="10" t="s">
        <v>1066</v>
      </c>
      <c r="D334" s="12" t="s">
        <v>1067</v>
      </c>
      <c r="E334" s="12" t="s">
        <v>1068</v>
      </c>
      <c r="F334" s="12" t="s">
        <v>1034</v>
      </c>
      <c r="G334" s="13" t="s">
        <v>369</v>
      </c>
      <c r="H334" s="14"/>
      <c r="I334" s="28">
        <v>531</v>
      </c>
      <c r="J334" s="16" t="s">
        <v>359</v>
      </c>
    </row>
    <row r="335" ht="30" spans="1:10">
      <c r="A335" s="10">
        <v>333</v>
      </c>
      <c r="B335" s="10" t="s">
        <v>211</v>
      </c>
      <c r="C335" s="10" t="s">
        <v>1069</v>
      </c>
      <c r="D335" s="12" t="s">
        <v>1070</v>
      </c>
      <c r="E335" s="14"/>
      <c r="F335" s="14"/>
      <c r="G335" s="13" t="s">
        <v>369</v>
      </c>
      <c r="H335" s="14"/>
      <c r="I335" s="30">
        <f>531*0.3</f>
        <v>159.3</v>
      </c>
      <c r="J335" s="16" t="s">
        <v>359</v>
      </c>
    </row>
    <row r="336" ht="42.75" spans="1:10">
      <c r="A336" s="10">
        <v>334</v>
      </c>
      <c r="B336" s="10" t="s">
        <v>211</v>
      </c>
      <c r="C336" s="10" t="s">
        <v>1071</v>
      </c>
      <c r="D336" s="12" t="s">
        <v>1072</v>
      </c>
      <c r="E336" s="12" t="s">
        <v>1073</v>
      </c>
      <c r="F336" s="12" t="s">
        <v>1051</v>
      </c>
      <c r="G336" s="98" t="s">
        <v>16</v>
      </c>
      <c r="H336" s="14"/>
      <c r="I336" s="28">
        <v>841</v>
      </c>
      <c r="J336" s="16" t="s">
        <v>359</v>
      </c>
    </row>
    <row r="337" ht="30" spans="1:10">
      <c r="A337" s="10">
        <v>335</v>
      </c>
      <c r="B337" s="10" t="s">
        <v>211</v>
      </c>
      <c r="C337" s="10" t="s">
        <v>1074</v>
      </c>
      <c r="D337" s="12" t="s">
        <v>1075</v>
      </c>
      <c r="E337" s="14"/>
      <c r="F337" s="14"/>
      <c r="G337" s="98" t="s">
        <v>16</v>
      </c>
      <c r="H337" s="14"/>
      <c r="I337" s="30">
        <f>841*0.3</f>
        <v>252.3</v>
      </c>
      <c r="J337" s="16" t="s">
        <v>359</v>
      </c>
    </row>
    <row r="338" ht="42.75" spans="1:10">
      <c r="A338" s="10">
        <v>336</v>
      </c>
      <c r="B338" s="10" t="s">
        <v>211</v>
      </c>
      <c r="C338" s="10" t="s">
        <v>1076</v>
      </c>
      <c r="D338" s="12" t="s">
        <v>1077</v>
      </c>
      <c r="E338" s="12" t="s">
        <v>1078</v>
      </c>
      <c r="F338" s="12" t="s">
        <v>1079</v>
      </c>
      <c r="G338" s="98" t="s">
        <v>16</v>
      </c>
      <c r="H338" s="14"/>
      <c r="I338" s="28">
        <v>898.72</v>
      </c>
      <c r="J338" s="16" t="s">
        <v>359</v>
      </c>
    </row>
    <row r="339" ht="30" spans="1:10">
      <c r="A339" s="10">
        <v>337</v>
      </c>
      <c r="B339" s="10" t="s">
        <v>211</v>
      </c>
      <c r="C339" s="10" t="s">
        <v>1080</v>
      </c>
      <c r="D339" s="12" t="s">
        <v>1081</v>
      </c>
      <c r="E339" s="14"/>
      <c r="F339" s="14"/>
      <c r="G339" s="98" t="s">
        <v>16</v>
      </c>
      <c r="H339" s="14"/>
      <c r="I339" s="30">
        <f>899*0.3</f>
        <v>269.7</v>
      </c>
      <c r="J339" s="16" t="s">
        <v>359</v>
      </c>
    </row>
    <row r="340" ht="42.75" spans="1:10">
      <c r="A340" s="10">
        <v>338</v>
      </c>
      <c r="B340" s="10" t="s">
        <v>211</v>
      </c>
      <c r="C340" s="10" t="s">
        <v>1082</v>
      </c>
      <c r="D340" s="12" t="s">
        <v>1083</v>
      </c>
      <c r="E340" s="12" t="s">
        <v>1084</v>
      </c>
      <c r="F340" s="12" t="s">
        <v>1085</v>
      </c>
      <c r="G340" s="98" t="s">
        <v>16</v>
      </c>
      <c r="H340" s="14"/>
      <c r="I340" s="28">
        <v>1093.06</v>
      </c>
      <c r="J340" s="16" t="s">
        <v>359</v>
      </c>
    </row>
    <row r="341" ht="30" spans="1:10">
      <c r="A341" s="10">
        <v>339</v>
      </c>
      <c r="B341" s="10" t="s">
        <v>211</v>
      </c>
      <c r="C341" s="10" t="s">
        <v>1086</v>
      </c>
      <c r="D341" s="12" t="s">
        <v>1087</v>
      </c>
      <c r="E341" s="14"/>
      <c r="F341" s="14"/>
      <c r="G341" s="98" t="s">
        <v>16</v>
      </c>
      <c r="H341" s="14"/>
      <c r="I341" s="30">
        <f>1093*0.3</f>
        <v>327.9</v>
      </c>
      <c r="J341" s="16" t="s">
        <v>359</v>
      </c>
    </row>
    <row r="342" ht="42.75" spans="1:10">
      <c r="A342" s="10">
        <v>340</v>
      </c>
      <c r="B342" s="10" t="s">
        <v>211</v>
      </c>
      <c r="C342" s="96" t="s">
        <v>1088</v>
      </c>
      <c r="D342" s="12" t="s">
        <v>1089</v>
      </c>
      <c r="E342" s="12" t="s">
        <v>1090</v>
      </c>
      <c r="F342" s="12" t="s">
        <v>1091</v>
      </c>
      <c r="G342" s="13" t="s">
        <v>16</v>
      </c>
      <c r="H342" s="14"/>
      <c r="I342" s="28">
        <v>1940.12</v>
      </c>
      <c r="J342" s="16" t="s">
        <v>359</v>
      </c>
    </row>
    <row r="343" ht="30" spans="1:10">
      <c r="A343" s="10">
        <v>341</v>
      </c>
      <c r="B343" s="10" t="s">
        <v>211</v>
      </c>
      <c r="C343" s="10" t="s">
        <v>1092</v>
      </c>
      <c r="D343" s="12" t="s">
        <v>1093</v>
      </c>
      <c r="E343" s="14"/>
      <c r="F343" s="14"/>
      <c r="G343" s="13" t="s">
        <v>16</v>
      </c>
      <c r="H343" s="14"/>
      <c r="I343" s="30">
        <f>1940*0.3</f>
        <v>582</v>
      </c>
      <c r="J343" s="16" t="s">
        <v>359</v>
      </c>
    </row>
    <row r="344" ht="42.75" spans="1:10">
      <c r="A344" s="10">
        <v>342</v>
      </c>
      <c r="B344" s="10" t="s">
        <v>211</v>
      </c>
      <c r="C344" s="10" t="s">
        <v>1094</v>
      </c>
      <c r="D344" s="12" t="s">
        <v>1095</v>
      </c>
      <c r="E344" s="12" t="s">
        <v>1096</v>
      </c>
      <c r="F344" s="12" t="s">
        <v>1028</v>
      </c>
      <c r="G344" s="98" t="s">
        <v>16</v>
      </c>
      <c r="H344" s="14"/>
      <c r="I344" s="28">
        <v>2849</v>
      </c>
      <c r="J344" s="16" t="s">
        <v>359</v>
      </c>
    </row>
    <row r="345" ht="30" spans="1:10">
      <c r="A345" s="10">
        <v>343</v>
      </c>
      <c r="B345" s="10" t="s">
        <v>211</v>
      </c>
      <c r="C345" s="10" t="s">
        <v>1097</v>
      </c>
      <c r="D345" s="12" t="s">
        <v>1098</v>
      </c>
      <c r="E345" s="14"/>
      <c r="F345" s="14"/>
      <c r="G345" s="98" t="s">
        <v>16</v>
      </c>
      <c r="H345" s="14"/>
      <c r="I345" s="30">
        <f>2849*0.3</f>
        <v>854.7</v>
      </c>
      <c r="J345" s="16" t="s">
        <v>359</v>
      </c>
    </row>
    <row r="346" ht="42.75" spans="1:10">
      <c r="A346" s="10">
        <v>344</v>
      </c>
      <c r="B346" s="10" t="s">
        <v>211</v>
      </c>
      <c r="C346" s="10" t="s">
        <v>1099</v>
      </c>
      <c r="D346" s="12" t="s">
        <v>1100</v>
      </c>
      <c r="E346" s="12" t="s">
        <v>1101</v>
      </c>
      <c r="F346" s="12" t="s">
        <v>1102</v>
      </c>
      <c r="G346" s="98" t="s">
        <v>16</v>
      </c>
      <c r="H346" s="14"/>
      <c r="I346" s="28">
        <v>2411</v>
      </c>
      <c r="J346" s="16" t="s">
        <v>359</v>
      </c>
    </row>
    <row r="347" ht="15.75" spans="1:10">
      <c r="A347" s="10">
        <v>345</v>
      </c>
      <c r="B347" s="10" t="s">
        <v>211</v>
      </c>
      <c r="C347" s="10" t="s">
        <v>1103</v>
      </c>
      <c r="D347" s="12" t="s">
        <v>1104</v>
      </c>
      <c r="E347" s="14"/>
      <c r="F347" s="14"/>
      <c r="G347" s="98" t="s">
        <v>16</v>
      </c>
      <c r="H347" s="14"/>
      <c r="I347" s="30">
        <f>2411*0.3</f>
        <v>723.3</v>
      </c>
      <c r="J347" s="16" t="s">
        <v>359</v>
      </c>
    </row>
    <row r="348" ht="57" spans="1:10">
      <c r="A348" s="10">
        <v>346</v>
      </c>
      <c r="B348" s="10" t="s">
        <v>211</v>
      </c>
      <c r="C348" s="10" t="s">
        <v>1105</v>
      </c>
      <c r="D348" s="12" t="s">
        <v>1106</v>
      </c>
      <c r="E348" s="12" t="s">
        <v>1107</v>
      </c>
      <c r="F348" s="12" t="s">
        <v>1108</v>
      </c>
      <c r="G348" s="98" t="s">
        <v>16</v>
      </c>
      <c r="H348" s="14"/>
      <c r="I348" s="28">
        <v>2970.86</v>
      </c>
      <c r="J348" s="16" t="s">
        <v>359</v>
      </c>
    </row>
    <row r="349" ht="30" spans="1:10">
      <c r="A349" s="10">
        <v>347</v>
      </c>
      <c r="B349" s="10" t="s">
        <v>211</v>
      </c>
      <c r="C349" s="10" t="s">
        <v>1109</v>
      </c>
      <c r="D349" s="12" t="s">
        <v>1110</v>
      </c>
      <c r="E349" s="14"/>
      <c r="F349" s="14"/>
      <c r="G349" s="98" t="s">
        <v>16</v>
      </c>
      <c r="H349" s="14"/>
      <c r="I349" s="30">
        <f>2971*0.3</f>
        <v>891.3</v>
      </c>
      <c r="J349" s="16" t="s">
        <v>359</v>
      </c>
    </row>
    <row r="350" ht="72.75" spans="1:10">
      <c r="A350" s="10">
        <v>348</v>
      </c>
      <c r="B350" s="10" t="s">
        <v>211</v>
      </c>
      <c r="C350" s="10" t="s">
        <v>1111</v>
      </c>
      <c r="D350" s="12" t="s">
        <v>1112</v>
      </c>
      <c r="E350" s="12" t="s">
        <v>1113</v>
      </c>
      <c r="F350" s="12" t="s">
        <v>1108</v>
      </c>
      <c r="G350" s="98" t="s">
        <v>16</v>
      </c>
      <c r="H350" s="12" t="s">
        <v>1114</v>
      </c>
      <c r="I350" s="28">
        <v>3268.52</v>
      </c>
      <c r="J350" s="16" t="s">
        <v>359</v>
      </c>
    </row>
    <row r="351" ht="30" spans="1:10">
      <c r="A351" s="10">
        <v>349</v>
      </c>
      <c r="B351" s="10" t="s">
        <v>211</v>
      </c>
      <c r="C351" s="10" t="s">
        <v>1115</v>
      </c>
      <c r="D351" s="12" t="s">
        <v>1116</v>
      </c>
      <c r="E351" s="14"/>
      <c r="F351" s="14"/>
      <c r="G351" s="98" t="s">
        <v>16</v>
      </c>
      <c r="H351" s="14"/>
      <c r="I351" s="30">
        <f>3269*0.3</f>
        <v>980.7</v>
      </c>
      <c r="J351" s="16" t="s">
        <v>359</v>
      </c>
    </row>
    <row r="352" ht="77.25" spans="1:10">
      <c r="A352" s="10">
        <v>350</v>
      </c>
      <c r="B352" s="10" t="s">
        <v>211</v>
      </c>
      <c r="C352" s="10" t="s">
        <v>1117</v>
      </c>
      <c r="D352" s="12" t="s">
        <v>1118</v>
      </c>
      <c r="E352" s="12" t="s">
        <v>1119</v>
      </c>
      <c r="F352" s="12" t="s">
        <v>1015</v>
      </c>
      <c r="G352" s="13" t="s">
        <v>16</v>
      </c>
      <c r="H352" s="12" t="s">
        <v>1120</v>
      </c>
      <c r="I352" s="28">
        <v>1839</v>
      </c>
      <c r="J352" s="16" t="s">
        <v>359</v>
      </c>
    </row>
    <row r="353" ht="30" spans="1:10">
      <c r="A353" s="10">
        <v>351</v>
      </c>
      <c r="B353" s="10" t="s">
        <v>211</v>
      </c>
      <c r="C353" s="10" t="s">
        <v>1121</v>
      </c>
      <c r="D353" s="12" t="s">
        <v>1122</v>
      </c>
      <c r="E353" s="14"/>
      <c r="F353" s="14"/>
      <c r="G353" s="13" t="s">
        <v>16</v>
      </c>
      <c r="H353" s="14"/>
      <c r="I353" s="30">
        <f>1839*0.3</f>
        <v>551.7</v>
      </c>
      <c r="J353" s="16" t="s">
        <v>359</v>
      </c>
    </row>
    <row r="354" ht="42.75" spans="1:10">
      <c r="A354" s="10">
        <v>352</v>
      </c>
      <c r="B354" s="10" t="s">
        <v>211</v>
      </c>
      <c r="C354" s="10" t="s">
        <v>1123</v>
      </c>
      <c r="D354" s="12" t="s">
        <v>1124</v>
      </c>
      <c r="E354" s="12" t="s">
        <v>1125</v>
      </c>
      <c r="F354" s="12" t="s">
        <v>1126</v>
      </c>
      <c r="G354" s="98" t="s">
        <v>16</v>
      </c>
      <c r="H354" s="14"/>
      <c r="I354" s="28">
        <v>1579.32</v>
      </c>
      <c r="J354" s="16" t="s">
        <v>359</v>
      </c>
    </row>
    <row r="355" ht="30" spans="1:10">
      <c r="A355" s="10">
        <v>353</v>
      </c>
      <c r="B355" s="10" t="s">
        <v>211</v>
      </c>
      <c r="C355" s="10" t="s">
        <v>1127</v>
      </c>
      <c r="D355" s="12" t="s">
        <v>1128</v>
      </c>
      <c r="E355" s="14"/>
      <c r="F355" s="14"/>
      <c r="G355" s="98" t="s">
        <v>16</v>
      </c>
      <c r="H355" s="43"/>
      <c r="I355" s="30">
        <f>1579*0.3</f>
        <v>473.7</v>
      </c>
      <c r="J355" s="16" t="s">
        <v>359</v>
      </c>
    </row>
    <row r="356" ht="44.25" spans="1:10">
      <c r="A356" s="10">
        <v>354</v>
      </c>
      <c r="B356" s="10" t="s">
        <v>211</v>
      </c>
      <c r="C356" s="96" t="s">
        <v>1129</v>
      </c>
      <c r="D356" s="12" t="s">
        <v>1130</v>
      </c>
      <c r="E356" s="12" t="s">
        <v>1131</v>
      </c>
      <c r="F356" s="12" t="s">
        <v>1132</v>
      </c>
      <c r="G356" s="13" t="s">
        <v>16</v>
      </c>
      <c r="H356" s="43"/>
      <c r="I356" s="28">
        <v>2078.7</v>
      </c>
      <c r="J356" s="16" t="s">
        <v>359</v>
      </c>
    </row>
    <row r="357" ht="30" spans="1:10">
      <c r="A357" s="10">
        <v>355</v>
      </c>
      <c r="B357" s="10" t="s">
        <v>211</v>
      </c>
      <c r="C357" s="10" t="s">
        <v>1133</v>
      </c>
      <c r="D357" s="12" t="s">
        <v>1134</v>
      </c>
      <c r="E357" s="14"/>
      <c r="F357" s="14"/>
      <c r="G357" s="13" t="s">
        <v>16</v>
      </c>
      <c r="H357" s="43"/>
      <c r="I357" s="30">
        <f>2079*0.3</f>
        <v>623.7</v>
      </c>
      <c r="J357" s="16" t="s">
        <v>359</v>
      </c>
    </row>
    <row r="358" ht="42.75" spans="1:10">
      <c r="A358" s="10">
        <v>356</v>
      </c>
      <c r="B358" s="10" t="s">
        <v>211</v>
      </c>
      <c r="C358" s="10" t="s">
        <v>1135</v>
      </c>
      <c r="D358" s="12" t="s">
        <v>1136</v>
      </c>
      <c r="E358" s="12" t="s">
        <v>1137</v>
      </c>
      <c r="F358" s="12" t="s">
        <v>1138</v>
      </c>
      <c r="G358" s="27" t="s">
        <v>16</v>
      </c>
      <c r="H358" s="43"/>
      <c r="I358" s="28">
        <v>2535</v>
      </c>
      <c r="J358" s="16" t="s">
        <v>359</v>
      </c>
    </row>
    <row r="359" ht="30" spans="1:10">
      <c r="A359" s="10">
        <v>357</v>
      </c>
      <c r="B359" s="10" t="s">
        <v>211</v>
      </c>
      <c r="C359" s="10" t="s">
        <v>1139</v>
      </c>
      <c r="D359" s="12" t="s">
        <v>1140</v>
      </c>
      <c r="E359" s="14"/>
      <c r="F359" s="14"/>
      <c r="G359" s="27" t="s">
        <v>16</v>
      </c>
      <c r="H359" s="14"/>
      <c r="I359" s="30">
        <f>2535*0.3</f>
        <v>760.5</v>
      </c>
      <c r="J359" s="16" t="s">
        <v>359</v>
      </c>
    </row>
    <row r="360" ht="42.75" spans="1:10">
      <c r="A360" s="10">
        <v>358</v>
      </c>
      <c r="B360" s="10" t="s">
        <v>211</v>
      </c>
      <c r="C360" s="10" t="s">
        <v>1141</v>
      </c>
      <c r="D360" s="12" t="s">
        <v>1142</v>
      </c>
      <c r="E360" s="12" t="s">
        <v>1143</v>
      </c>
      <c r="F360" s="12" t="s">
        <v>1144</v>
      </c>
      <c r="G360" s="98" t="s">
        <v>16</v>
      </c>
      <c r="H360" s="14"/>
      <c r="I360" s="28">
        <v>3986</v>
      </c>
      <c r="J360" s="16" t="s">
        <v>359</v>
      </c>
    </row>
    <row r="361" ht="30" spans="1:10">
      <c r="A361" s="10">
        <v>359</v>
      </c>
      <c r="B361" s="10" t="s">
        <v>211</v>
      </c>
      <c r="C361" s="10" t="s">
        <v>1145</v>
      </c>
      <c r="D361" s="12" t="s">
        <v>1146</v>
      </c>
      <c r="E361" s="14"/>
      <c r="F361" s="14"/>
      <c r="G361" s="98" t="s">
        <v>16</v>
      </c>
      <c r="H361" s="14"/>
      <c r="I361" s="30">
        <f>3986*0.3</f>
        <v>1195.8</v>
      </c>
      <c r="J361" s="16" t="s">
        <v>359</v>
      </c>
    </row>
    <row r="362" ht="42.75" spans="1:10">
      <c r="A362" s="10">
        <v>360</v>
      </c>
      <c r="B362" s="10" t="s">
        <v>211</v>
      </c>
      <c r="C362" s="10" t="s">
        <v>1147</v>
      </c>
      <c r="D362" s="12" t="s">
        <v>1148</v>
      </c>
      <c r="E362" s="12" t="s">
        <v>1149</v>
      </c>
      <c r="F362" s="12" t="s">
        <v>1150</v>
      </c>
      <c r="G362" s="98" t="s">
        <v>16</v>
      </c>
      <c r="H362" s="14"/>
      <c r="I362" s="28">
        <v>1527.66</v>
      </c>
      <c r="J362" s="16" t="s">
        <v>359</v>
      </c>
    </row>
    <row r="363" ht="30" spans="1:10">
      <c r="A363" s="10">
        <v>361</v>
      </c>
      <c r="B363" s="10" t="s">
        <v>211</v>
      </c>
      <c r="C363" s="10" t="s">
        <v>1151</v>
      </c>
      <c r="D363" s="12" t="s">
        <v>1152</v>
      </c>
      <c r="E363" s="14"/>
      <c r="F363" s="14"/>
      <c r="G363" s="98" t="s">
        <v>16</v>
      </c>
      <c r="H363" s="14"/>
      <c r="I363" s="30">
        <f>1528*0.3</f>
        <v>458.4</v>
      </c>
      <c r="J363" s="16" t="s">
        <v>359</v>
      </c>
    </row>
    <row r="364" ht="42.75" spans="1:10">
      <c r="A364" s="10">
        <v>362</v>
      </c>
      <c r="B364" s="10" t="s">
        <v>211</v>
      </c>
      <c r="C364" s="10" t="s">
        <v>1153</v>
      </c>
      <c r="D364" s="12" t="s">
        <v>1154</v>
      </c>
      <c r="E364" s="12" t="s">
        <v>1155</v>
      </c>
      <c r="F364" s="12" t="s">
        <v>1156</v>
      </c>
      <c r="G364" s="98" t="s">
        <v>16</v>
      </c>
      <c r="H364" s="14"/>
      <c r="I364" s="28">
        <v>1151.28</v>
      </c>
      <c r="J364" s="16" t="s">
        <v>359</v>
      </c>
    </row>
    <row r="365" ht="15.75" spans="1:10">
      <c r="A365" s="10">
        <v>363</v>
      </c>
      <c r="B365" s="10" t="s">
        <v>211</v>
      </c>
      <c r="C365" s="10" t="s">
        <v>1157</v>
      </c>
      <c r="D365" s="12" t="s">
        <v>1158</v>
      </c>
      <c r="E365" s="14"/>
      <c r="F365" s="14"/>
      <c r="G365" s="98" t="s">
        <v>16</v>
      </c>
      <c r="H365" s="14"/>
      <c r="I365" s="30">
        <f>1151*0.3</f>
        <v>345.3</v>
      </c>
      <c r="J365" s="16" t="s">
        <v>359</v>
      </c>
    </row>
    <row r="366" ht="60" spans="1:10">
      <c r="A366" s="10">
        <v>364</v>
      </c>
      <c r="B366" s="10" t="s">
        <v>211</v>
      </c>
      <c r="C366" s="10" t="s">
        <v>1159</v>
      </c>
      <c r="D366" s="12" t="s">
        <v>1160</v>
      </c>
      <c r="E366" s="12" t="s">
        <v>1161</v>
      </c>
      <c r="F366" s="12" t="s">
        <v>1162</v>
      </c>
      <c r="G366" s="98" t="s">
        <v>16</v>
      </c>
      <c r="H366" s="12" t="s">
        <v>1163</v>
      </c>
      <c r="I366" s="28">
        <v>554.32</v>
      </c>
      <c r="J366" s="16" t="s">
        <v>359</v>
      </c>
    </row>
    <row r="367" ht="31.5" spans="1:10">
      <c r="A367" s="10">
        <v>365</v>
      </c>
      <c r="B367" s="10" t="s">
        <v>211</v>
      </c>
      <c r="C367" s="10" t="s">
        <v>1164</v>
      </c>
      <c r="D367" s="12" t="s">
        <v>1165</v>
      </c>
      <c r="E367" s="14"/>
      <c r="F367" s="14"/>
      <c r="G367" s="98" t="s">
        <v>16</v>
      </c>
      <c r="H367" s="14"/>
      <c r="I367" s="30">
        <f>554*0.3</f>
        <v>166.2</v>
      </c>
      <c r="J367" s="16" t="s">
        <v>359</v>
      </c>
    </row>
    <row r="368" ht="60" spans="1:10">
      <c r="A368" s="10">
        <v>366</v>
      </c>
      <c r="B368" s="10" t="s">
        <v>211</v>
      </c>
      <c r="C368" s="10" t="s">
        <v>1166</v>
      </c>
      <c r="D368" s="12" t="s">
        <v>1167</v>
      </c>
      <c r="E368" s="14"/>
      <c r="F368" s="14"/>
      <c r="G368" s="98" t="s">
        <v>16</v>
      </c>
      <c r="H368" s="12" t="s">
        <v>1163</v>
      </c>
      <c r="I368" s="28">
        <v>554</v>
      </c>
      <c r="J368" s="16" t="s">
        <v>359</v>
      </c>
    </row>
    <row r="369" ht="42.75" spans="1:10">
      <c r="A369" s="10">
        <v>367</v>
      </c>
      <c r="B369" s="10" t="s">
        <v>211</v>
      </c>
      <c r="C369" s="10" t="s">
        <v>1168</v>
      </c>
      <c r="D369" s="12" t="s">
        <v>1169</v>
      </c>
      <c r="E369" s="12" t="s">
        <v>1170</v>
      </c>
      <c r="F369" s="12" t="s">
        <v>1171</v>
      </c>
      <c r="G369" s="98" t="s">
        <v>16</v>
      </c>
      <c r="H369" s="14"/>
      <c r="I369" s="28">
        <v>353.42</v>
      </c>
      <c r="J369" s="16" t="s">
        <v>359</v>
      </c>
    </row>
    <row r="370" ht="30" spans="1:10">
      <c r="A370" s="10">
        <v>368</v>
      </c>
      <c r="B370" s="10" t="s">
        <v>211</v>
      </c>
      <c r="C370" s="10" t="s">
        <v>1172</v>
      </c>
      <c r="D370" s="12" t="s">
        <v>1173</v>
      </c>
      <c r="E370" s="14"/>
      <c r="F370" s="14"/>
      <c r="G370" s="98" t="s">
        <v>16</v>
      </c>
      <c r="H370" s="14"/>
      <c r="I370" s="30">
        <f>353*0.3</f>
        <v>105.9</v>
      </c>
      <c r="J370" s="16" t="s">
        <v>359</v>
      </c>
    </row>
    <row r="371" ht="42.75" spans="1:10">
      <c r="A371" s="10">
        <v>369</v>
      </c>
      <c r="B371" s="10" t="s">
        <v>211</v>
      </c>
      <c r="C371" s="96" t="s">
        <v>1174</v>
      </c>
      <c r="D371" s="12" t="s">
        <v>1175</v>
      </c>
      <c r="E371" s="12" t="s">
        <v>1176</v>
      </c>
      <c r="F371" s="12" t="s">
        <v>1177</v>
      </c>
      <c r="G371" s="98" t="s">
        <v>16</v>
      </c>
      <c r="H371" s="14"/>
      <c r="I371" s="28">
        <v>485.44</v>
      </c>
      <c r="J371" s="16" t="s">
        <v>359</v>
      </c>
    </row>
    <row r="372" ht="15.75" spans="1:10">
      <c r="A372" s="10">
        <v>370</v>
      </c>
      <c r="B372" s="10" t="s">
        <v>211</v>
      </c>
      <c r="C372" s="10" t="s">
        <v>1178</v>
      </c>
      <c r="D372" s="12" t="s">
        <v>1179</v>
      </c>
      <c r="E372" s="14"/>
      <c r="F372" s="14"/>
      <c r="G372" s="98" t="s">
        <v>16</v>
      </c>
      <c r="H372" s="14"/>
      <c r="I372" s="30">
        <f>485*0.3</f>
        <v>145.5</v>
      </c>
      <c r="J372" s="16" t="s">
        <v>359</v>
      </c>
    </row>
    <row r="373" ht="42.75" spans="1:10">
      <c r="A373" s="10">
        <v>371</v>
      </c>
      <c r="B373" s="10" t="s">
        <v>211</v>
      </c>
      <c r="C373" s="10" t="s">
        <v>1180</v>
      </c>
      <c r="D373" s="12" t="s">
        <v>1181</v>
      </c>
      <c r="E373" s="12" t="s">
        <v>1182</v>
      </c>
      <c r="F373" s="12" t="s">
        <v>1183</v>
      </c>
      <c r="G373" s="98" t="s">
        <v>16</v>
      </c>
      <c r="H373" s="14"/>
      <c r="I373" s="28">
        <v>1772.84</v>
      </c>
      <c r="J373" s="16" t="s">
        <v>359</v>
      </c>
    </row>
    <row r="374" ht="30" spans="1:10">
      <c r="A374" s="10">
        <v>372</v>
      </c>
      <c r="B374" s="10" t="s">
        <v>211</v>
      </c>
      <c r="C374" s="10" t="s">
        <v>1184</v>
      </c>
      <c r="D374" s="12" t="s">
        <v>1185</v>
      </c>
      <c r="E374" s="14"/>
      <c r="F374" s="14"/>
      <c r="G374" s="98" t="s">
        <v>16</v>
      </c>
      <c r="H374" s="14"/>
      <c r="I374" s="30">
        <f>1773*0.3</f>
        <v>531.9</v>
      </c>
      <c r="J374" s="16" t="s">
        <v>359</v>
      </c>
    </row>
    <row r="375" ht="44.25" spans="1:10">
      <c r="A375" s="10">
        <v>373</v>
      </c>
      <c r="B375" s="10" t="s">
        <v>211</v>
      </c>
      <c r="C375" s="10" t="s">
        <v>1186</v>
      </c>
      <c r="D375" s="12" t="s">
        <v>1187</v>
      </c>
      <c r="E375" s="12" t="s">
        <v>1188</v>
      </c>
      <c r="F375" s="12" t="s">
        <v>1189</v>
      </c>
      <c r="G375" s="98" t="s">
        <v>16</v>
      </c>
      <c r="H375" s="12" t="s">
        <v>1190</v>
      </c>
      <c r="I375" s="28">
        <v>1081</v>
      </c>
      <c r="J375" s="16" t="s">
        <v>359</v>
      </c>
    </row>
    <row r="376" ht="30" spans="1:10">
      <c r="A376" s="10">
        <v>374</v>
      </c>
      <c r="B376" s="10" t="s">
        <v>211</v>
      </c>
      <c r="C376" s="10" t="s">
        <v>1191</v>
      </c>
      <c r="D376" s="12" t="s">
        <v>1192</v>
      </c>
      <c r="E376" s="44"/>
      <c r="F376" s="44"/>
      <c r="G376" s="44"/>
      <c r="H376" s="14"/>
      <c r="I376" s="30">
        <f>1081*0.3</f>
        <v>324.3</v>
      </c>
      <c r="J376" s="16" t="s">
        <v>359</v>
      </c>
    </row>
    <row r="377" ht="47.25" spans="1:10">
      <c r="A377" s="10">
        <v>375</v>
      </c>
      <c r="B377" s="11" t="s">
        <v>177</v>
      </c>
      <c r="C377" s="45" t="s">
        <v>1193</v>
      </c>
      <c r="D377" s="12" t="s">
        <v>1194</v>
      </c>
      <c r="E377" s="46" t="s">
        <v>1195</v>
      </c>
      <c r="F377" s="12" t="s">
        <v>1196</v>
      </c>
      <c r="G377" s="13" t="s">
        <v>16</v>
      </c>
      <c r="H377" s="14" t="s">
        <v>1197</v>
      </c>
      <c r="I377" s="47">
        <v>103</v>
      </c>
      <c r="J377" s="16" t="s">
        <v>1198</v>
      </c>
    </row>
    <row r="378" ht="30" spans="1:10">
      <c r="A378" s="10">
        <v>376</v>
      </c>
      <c r="B378" s="11" t="s">
        <v>177</v>
      </c>
      <c r="C378" s="45" t="s">
        <v>1199</v>
      </c>
      <c r="D378" s="22" t="s">
        <v>1200</v>
      </c>
      <c r="E378" s="48"/>
      <c r="F378" s="14"/>
      <c r="G378" s="13" t="s">
        <v>16</v>
      </c>
      <c r="H378" s="12" t="s">
        <v>1201</v>
      </c>
      <c r="I378" s="47">
        <v>29.7115384615385</v>
      </c>
      <c r="J378" s="16" t="s">
        <v>1198</v>
      </c>
    </row>
    <row r="379" ht="60" spans="1:10">
      <c r="A379" s="10">
        <v>377</v>
      </c>
      <c r="B379" s="11" t="s">
        <v>177</v>
      </c>
      <c r="C379" s="45" t="s">
        <v>1202</v>
      </c>
      <c r="D379" s="22" t="s">
        <v>1203</v>
      </c>
      <c r="E379" s="48"/>
      <c r="F379" s="14"/>
      <c r="G379" s="13" t="s">
        <v>16</v>
      </c>
      <c r="H379" s="14" t="s">
        <v>1204</v>
      </c>
      <c r="I379" s="47">
        <v>90.125</v>
      </c>
      <c r="J379" s="16" t="s">
        <v>1198</v>
      </c>
    </row>
    <row r="380" ht="45.75" spans="1:10">
      <c r="A380" s="10">
        <v>378</v>
      </c>
      <c r="B380" s="11" t="s">
        <v>177</v>
      </c>
      <c r="C380" s="45" t="s">
        <v>1205</v>
      </c>
      <c r="D380" s="22" t="s">
        <v>1206</v>
      </c>
      <c r="E380" s="48"/>
      <c r="F380" s="14"/>
      <c r="G380" s="13" t="s">
        <v>16</v>
      </c>
      <c r="H380" s="14" t="s">
        <v>1207</v>
      </c>
      <c r="I380" s="47">
        <v>90</v>
      </c>
      <c r="J380" s="16" t="s">
        <v>1198</v>
      </c>
    </row>
    <row r="381" ht="78.75" spans="1:10">
      <c r="A381" s="10">
        <v>379</v>
      </c>
      <c r="B381" s="11" t="s">
        <v>177</v>
      </c>
      <c r="C381" s="45" t="s">
        <v>1208</v>
      </c>
      <c r="D381" s="22" t="s">
        <v>1209</v>
      </c>
      <c r="E381" s="48"/>
      <c r="F381" s="14"/>
      <c r="G381" s="13" t="s">
        <v>16</v>
      </c>
      <c r="H381" s="14" t="s">
        <v>1210</v>
      </c>
      <c r="I381" s="47">
        <v>103</v>
      </c>
      <c r="J381" s="16" t="s">
        <v>1198</v>
      </c>
    </row>
    <row r="382" ht="42.75" spans="1:10">
      <c r="A382" s="10">
        <v>380</v>
      </c>
      <c r="B382" s="11" t="s">
        <v>177</v>
      </c>
      <c r="C382" s="45" t="s">
        <v>1211</v>
      </c>
      <c r="D382" s="12" t="s">
        <v>1212</v>
      </c>
      <c r="E382" s="46" t="s">
        <v>1213</v>
      </c>
      <c r="F382" s="12" t="s">
        <v>1214</v>
      </c>
      <c r="G382" s="13" t="s">
        <v>16</v>
      </c>
      <c r="H382" s="14"/>
      <c r="I382" s="47">
        <v>6768</v>
      </c>
      <c r="J382" s="16" t="s">
        <v>1198</v>
      </c>
    </row>
    <row r="383" ht="45.75" spans="1:10">
      <c r="A383" s="10">
        <v>381</v>
      </c>
      <c r="B383" s="11" t="s">
        <v>177</v>
      </c>
      <c r="C383" s="11" t="s">
        <v>1215</v>
      </c>
      <c r="D383" s="12" t="s">
        <v>1216</v>
      </c>
      <c r="E383" s="12" t="s">
        <v>1217</v>
      </c>
      <c r="F383" s="12" t="s">
        <v>1218</v>
      </c>
      <c r="G383" s="13" t="s">
        <v>16</v>
      </c>
      <c r="H383" s="12" t="s">
        <v>1219</v>
      </c>
      <c r="I383" s="47">
        <v>52</v>
      </c>
      <c r="J383" s="16" t="s">
        <v>1198</v>
      </c>
    </row>
    <row r="384" ht="30" spans="1:10">
      <c r="A384" s="10">
        <v>382</v>
      </c>
      <c r="B384" s="11" t="s">
        <v>177</v>
      </c>
      <c r="C384" s="11" t="s">
        <v>1220</v>
      </c>
      <c r="D384" s="22" t="s">
        <v>1221</v>
      </c>
      <c r="E384" s="14"/>
      <c r="F384" s="14"/>
      <c r="G384" s="13" t="s">
        <v>16</v>
      </c>
      <c r="H384" s="12" t="s">
        <v>1222</v>
      </c>
      <c r="I384" s="47">
        <v>30</v>
      </c>
      <c r="J384" s="16" t="s">
        <v>1198</v>
      </c>
    </row>
    <row r="385" ht="45.75" spans="1:10">
      <c r="A385" s="10">
        <v>383</v>
      </c>
      <c r="B385" s="11" t="s">
        <v>177</v>
      </c>
      <c r="C385" s="11" t="s">
        <v>1223</v>
      </c>
      <c r="D385" s="22" t="s">
        <v>1224</v>
      </c>
      <c r="E385" s="14"/>
      <c r="F385" s="14"/>
      <c r="G385" s="13" t="s">
        <v>16</v>
      </c>
      <c r="H385" s="12" t="s">
        <v>1219</v>
      </c>
      <c r="I385" s="47">
        <v>10</v>
      </c>
      <c r="J385" s="16" t="s">
        <v>1198</v>
      </c>
    </row>
    <row r="386" ht="30" spans="1:10">
      <c r="A386" s="10">
        <v>384</v>
      </c>
      <c r="B386" s="11" t="s">
        <v>177</v>
      </c>
      <c r="C386" s="11" t="s">
        <v>1225</v>
      </c>
      <c r="D386" s="22" t="s">
        <v>1226</v>
      </c>
      <c r="E386" s="14"/>
      <c r="F386" s="14"/>
      <c r="G386" s="27" t="s">
        <v>369</v>
      </c>
      <c r="H386" s="12" t="s">
        <v>1227</v>
      </c>
      <c r="I386" s="47">
        <v>104</v>
      </c>
      <c r="J386" s="16" t="s">
        <v>1198</v>
      </c>
    </row>
    <row r="387" ht="28.5" spans="1:10">
      <c r="A387" s="10">
        <v>385</v>
      </c>
      <c r="B387" s="11" t="s">
        <v>177</v>
      </c>
      <c r="C387" s="45" t="s">
        <v>1228</v>
      </c>
      <c r="D387" s="22" t="s">
        <v>1229</v>
      </c>
      <c r="E387" s="46" t="s">
        <v>1230</v>
      </c>
      <c r="F387" s="12" t="s">
        <v>1231</v>
      </c>
      <c r="G387" s="13" t="s">
        <v>736</v>
      </c>
      <c r="H387" s="14"/>
      <c r="I387" s="47">
        <v>52</v>
      </c>
      <c r="J387" s="16" t="s">
        <v>1198</v>
      </c>
    </row>
    <row r="388" ht="30" spans="1:10">
      <c r="A388" s="10">
        <v>386</v>
      </c>
      <c r="B388" s="11" t="s">
        <v>177</v>
      </c>
      <c r="C388" s="45" t="s">
        <v>1232</v>
      </c>
      <c r="D388" s="22" t="s">
        <v>1233</v>
      </c>
      <c r="E388" s="48"/>
      <c r="F388" s="14"/>
      <c r="G388" s="27" t="s">
        <v>16</v>
      </c>
      <c r="H388" s="12" t="s">
        <v>1234</v>
      </c>
      <c r="I388" s="47">
        <v>30</v>
      </c>
      <c r="J388" s="16" t="s">
        <v>1198</v>
      </c>
    </row>
    <row r="389" ht="30" spans="1:10">
      <c r="A389" s="10">
        <v>387</v>
      </c>
      <c r="B389" s="11" t="s">
        <v>177</v>
      </c>
      <c r="C389" s="45" t="s">
        <v>1235</v>
      </c>
      <c r="D389" s="22" t="s">
        <v>1236</v>
      </c>
      <c r="E389" s="48"/>
      <c r="F389" s="14"/>
      <c r="G389" s="27" t="s">
        <v>16</v>
      </c>
      <c r="H389" s="49" t="s">
        <v>1237</v>
      </c>
      <c r="I389" s="47">
        <v>260</v>
      </c>
      <c r="J389" s="16" t="s">
        <v>1198</v>
      </c>
    </row>
    <row r="390" ht="44.25" spans="1:10">
      <c r="A390" s="10">
        <v>388</v>
      </c>
      <c r="B390" s="11" t="s">
        <v>177</v>
      </c>
      <c r="C390" s="45" t="s">
        <v>1238</v>
      </c>
      <c r="D390" s="22" t="s">
        <v>1239</v>
      </c>
      <c r="E390" s="48"/>
      <c r="F390" s="14"/>
      <c r="G390" s="50" t="s">
        <v>736</v>
      </c>
      <c r="H390" s="14"/>
      <c r="I390" s="47">
        <v>130</v>
      </c>
      <c r="J390" s="16" t="s">
        <v>1198</v>
      </c>
    </row>
    <row r="391" ht="58.5" spans="1:10">
      <c r="A391" s="10">
        <v>389</v>
      </c>
      <c r="B391" s="11" t="s">
        <v>177</v>
      </c>
      <c r="C391" s="45" t="s">
        <v>1240</v>
      </c>
      <c r="D391" s="12" t="s">
        <v>1241</v>
      </c>
      <c r="E391" s="46" t="s">
        <v>1242</v>
      </c>
      <c r="F391" s="12" t="s">
        <v>1243</v>
      </c>
      <c r="G391" s="13" t="s">
        <v>16</v>
      </c>
      <c r="H391" s="14"/>
      <c r="I391" s="47">
        <v>160</v>
      </c>
      <c r="J391" s="16" t="s">
        <v>1198</v>
      </c>
    </row>
    <row r="392" ht="15.75" spans="1:10">
      <c r="A392" s="10">
        <v>390</v>
      </c>
      <c r="B392" s="11" t="s">
        <v>177</v>
      </c>
      <c r="C392" s="45" t="s">
        <v>1244</v>
      </c>
      <c r="D392" s="22" t="s">
        <v>1245</v>
      </c>
      <c r="E392" s="48"/>
      <c r="F392" s="14"/>
      <c r="G392" s="13" t="s">
        <v>16</v>
      </c>
      <c r="H392" s="14"/>
      <c r="I392" s="15">
        <v>30</v>
      </c>
      <c r="J392" s="16" t="s">
        <v>1198</v>
      </c>
    </row>
    <row r="393" ht="42.75" spans="1:10">
      <c r="A393" s="10">
        <v>391</v>
      </c>
      <c r="B393" s="11" t="s">
        <v>177</v>
      </c>
      <c r="C393" s="45" t="s">
        <v>1246</v>
      </c>
      <c r="D393" s="12" t="s">
        <v>1247</v>
      </c>
      <c r="E393" s="46" t="s">
        <v>1248</v>
      </c>
      <c r="F393" s="12" t="s">
        <v>1249</v>
      </c>
      <c r="G393" s="13" t="s">
        <v>16</v>
      </c>
      <c r="H393" s="14"/>
      <c r="I393" s="15">
        <v>100</v>
      </c>
      <c r="J393" s="16" t="s">
        <v>1198</v>
      </c>
    </row>
    <row r="394" ht="42.75" spans="1:10">
      <c r="A394" s="10">
        <v>392</v>
      </c>
      <c r="B394" s="11" t="s">
        <v>177</v>
      </c>
      <c r="C394" s="45" t="s">
        <v>1250</v>
      </c>
      <c r="D394" s="22" t="s">
        <v>1251</v>
      </c>
      <c r="E394" s="46" t="s">
        <v>1252</v>
      </c>
      <c r="F394" s="12" t="s">
        <v>1249</v>
      </c>
      <c r="G394" s="13" t="s">
        <v>374</v>
      </c>
      <c r="H394" s="12" t="s">
        <v>1253</v>
      </c>
      <c r="I394" s="47">
        <v>160</v>
      </c>
      <c r="J394" s="16" t="s">
        <v>1198</v>
      </c>
    </row>
    <row r="395" ht="44.25" spans="1:10">
      <c r="A395" s="10">
        <v>393</v>
      </c>
      <c r="B395" s="11" t="s">
        <v>177</v>
      </c>
      <c r="C395" s="45" t="s">
        <v>1254</v>
      </c>
      <c r="D395" s="12" t="s">
        <v>1255</v>
      </c>
      <c r="E395" s="46" t="s">
        <v>1256</v>
      </c>
      <c r="F395" s="12" t="s">
        <v>1249</v>
      </c>
      <c r="G395" s="13" t="s">
        <v>16</v>
      </c>
      <c r="H395" s="12" t="s">
        <v>1257</v>
      </c>
      <c r="I395" s="47">
        <v>160</v>
      </c>
      <c r="J395" s="16" t="s">
        <v>1198</v>
      </c>
    </row>
    <row r="396" ht="30" spans="1:10">
      <c r="A396" s="10">
        <v>394</v>
      </c>
      <c r="B396" s="11" t="s">
        <v>177</v>
      </c>
      <c r="C396" s="45" t="s">
        <v>1258</v>
      </c>
      <c r="D396" s="22" t="s">
        <v>1259</v>
      </c>
      <c r="E396" s="48"/>
      <c r="F396" s="14"/>
      <c r="G396" s="13" t="s">
        <v>16</v>
      </c>
      <c r="H396" s="14"/>
      <c r="I396" s="47">
        <v>30</v>
      </c>
      <c r="J396" s="16" t="s">
        <v>1198</v>
      </c>
    </row>
    <row r="397" ht="42.75" spans="1:10">
      <c r="A397" s="10">
        <v>395</v>
      </c>
      <c r="B397" s="11" t="s">
        <v>177</v>
      </c>
      <c r="C397" s="45" t="s">
        <v>1260</v>
      </c>
      <c r="D397" s="22" t="s">
        <v>1261</v>
      </c>
      <c r="E397" s="46" t="s">
        <v>1262</v>
      </c>
      <c r="F397" s="12" t="s">
        <v>1249</v>
      </c>
      <c r="G397" s="13" t="s">
        <v>1263</v>
      </c>
      <c r="H397" s="14"/>
      <c r="I397" s="47">
        <v>120</v>
      </c>
      <c r="J397" s="16" t="s">
        <v>1198</v>
      </c>
    </row>
    <row r="398" ht="30" spans="1:10">
      <c r="A398" s="10">
        <v>396</v>
      </c>
      <c r="B398" s="11" t="s">
        <v>177</v>
      </c>
      <c r="C398" s="45" t="s">
        <v>1264</v>
      </c>
      <c r="D398" s="22" t="s">
        <v>1265</v>
      </c>
      <c r="E398" s="48"/>
      <c r="F398" s="14"/>
      <c r="G398" s="13" t="s">
        <v>1263</v>
      </c>
      <c r="H398" s="14"/>
      <c r="I398" s="47">
        <v>30</v>
      </c>
      <c r="J398" s="16" t="s">
        <v>1198</v>
      </c>
    </row>
    <row r="399" ht="42.75" spans="1:10">
      <c r="A399" s="10">
        <v>397</v>
      </c>
      <c r="B399" s="11" t="s">
        <v>177</v>
      </c>
      <c r="C399" s="45" t="s">
        <v>1266</v>
      </c>
      <c r="D399" s="12" t="s">
        <v>1267</v>
      </c>
      <c r="E399" s="46" t="s">
        <v>1268</v>
      </c>
      <c r="F399" s="12" t="s">
        <v>1249</v>
      </c>
      <c r="G399" s="13" t="s">
        <v>1263</v>
      </c>
      <c r="H399" s="14"/>
      <c r="I399" s="47">
        <v>152</v>
      </c>
      <c r="J399" s="16" t="s">
        <v>1198</v>
      </c>
    </row>
    <row r="400" ht="57" spans="1:10">
      <c r="A400" s="10">
        <v>398</v>
      </c>
      <c r="B400" s="11" t="s">
        <v>177</v>
      </c>
      <c r="C400" s="45" t="s">
        <v>1269</v>
      </c>
      <c r="D400" s="22" t="s">
        <v>1270</v>
      </c>
      <c r="E400" s="46" t="s">
        <v>1271</v>
      </c>
      <c r="F400" s="12" t="s">
        <v>1196</v>
      </c>
      <c r="G400" s="13" t="s">
        <v>16</v>
      </c>
      <c r="H400" s="12" t="s">
        <v>1272</v>
      </c>
      <c r="I400" s="47">
        <v>780</v>
      </c>
      <c r="J400" s="16" t="s">
        <v>1198</v>
      </c>
    </row>
    <row r="401" ht="44.25" spans="1:10">
      <c r="A401" s="10">
        <v>399</v>
      </c>
      <c r="B401" s="11" t="s">
        <v>177</v>
      </c>
      <c r="C401" s="45" t="s">
        <v>1273</v>
      </c>
      <c r="D401" s="22" t="s">
        <v>1274</v>
      </c>
      <c r="E401" s="48"/>
      <c r="F401" s="14"/>
      <c r="G401" s="13" t="s">
        <v>16</v>
      </c>
      <c r="H401" s="14"/>
      <c r="I401" s="47">
        <v>312</v>
      </c>
      <c r="J401" s="16" t="s">
        <v>1198</v>
      </c>
    </row>
    <row r="402" ht="42.75" spans="1:10">
      <c r="A402" s="10">
        <v>400</v>
      </c>
      <c r="B402" s="11" t="s">
        <v>177</v>
      </c>
      <c r="C402" s="45" t="s">
        <v>1275</v>
      </c>
      <c r="D402" s="12" t="s">
        <v>1276</v>
      </c>
      <c r="E402" s="46" t="s">
        <v>1277</v>
      </c>
      <c r="F402" s="12" t="s">
        <v>1278</v>
      </c>
      <c r="G402" s="13" t="s">
        <v>303</v>
      </c>
      <c r="H402" s="14"/>
      <c r="I402" s="47">
        <v>10</v>
      </c>
      <c r="J402" s="16" t="s">
        <v>1198</v>
      </c>
    </row>
    <row r="403" ht="42.75" spans="1:10">
      <c r="A403" s="10">
        <v>401</v>
      </c>
      <c r="B403" s="11" t="s">
        <v>177</v>
      </c>
      <c r="C403" s="45" t="s">
        <v>1279</v>
      </c>
      <c r="D403" s="12" t="s">
        <v>1280</v>
      </c>
      <c r="E403" s="46" t="s">
        <v>1281</v>
      </c>
      <c r="F403" s="12" t="s">
        <v>1278</v>
      </c>
      <c r="G403" s="13" t="s">
        <v>303</v>
      </c>
      <c r="H403" s="14"/>
      <c r="I403" s="47">
        <v>10</v>
      </c>
      <c r="J403" s="16" t="s">
        <v>1198</v>
      </c>
    </row>
    <row r="404" ht="61.5" spans="1:10">
      <c r="A404" s="10">
        <v>402</v>
      </c>
      <c r="B404" s="11" t="s">
        <v>177</v>
      </c>
      <c r="C404" s="45" t="s">
        <v>1282</v>
      </c>
      <c r="D404" s="12" t="s">
        <v>1283</v>
      </c>
      <c r="E404" s="46" t="s">
        <v>1284</v>
      </c>
      <c r="F404" s="12" t="s">
        <v>1285</v>
      </c>
      <c r="G404" s="13" t="s">
        <v>16</v>
      </c>
      <c r="H404" s="12" t="s">
        <v>1286</v>
      </c>
      <c r="I404" s="47">
        <v>2379</v>
      </c>
      <c r="J404" s="16" t="s">
        <v>1198</v>
      </c>
    </row>
    <row r="405" ht="61.5" spans="1:10">
      <c r="A405" s="10">
        <v>403</v>
      </c>
      <c r="B405" s="11" t="s">
        <v>177</v>
      </c>
      <c r="C405" s="45" t="s">
        <v>1287</v>
      </c>
      <c r="D405" s="12" t="s">
        <v>1288</v>
      </c>
      <c r="E405" s="46" t="s">
        <v>1289</v>
      </c>
      <c r="F405" s="12" t="s">
        <v>1290</v>
      </c>
      <c r="G405" s="13" t="s">
        <v>16</v>
      </c>
      <c r="H405" s="12" t="s">
        <v>1291</v>
      </c>
      <c r="I405" s="47">
        <v>1759</v>
      </c>
      <c r="J405" s="16" t="s">
        <v>1198</v>
      </c>
    </row>
    <row r="406" ht="30" spans="1:10">
      <c r="A406" s="10">
        <v>404</v>
      </c>
      <c r="B406" s="11" t="s">
        <v>11</v>
      </c>
      <c r="C406" s="45" t="s">
        <v>1292</v>
      </c>
      <c r="D406" s="12" t="s">
        <v>1293</v>
      </c>
      <c r="E406" s="46" t="s">
        <v>1294</v>
      </c>
      <c r="F406" s="12" t="s">
        <v>1295</v>
      </c>
      <c r="G406" s="13" t="s">
        <v>16</v>
      </c>
      <c r="H406" s="14"/>
      <c r="I406" s="47">
        <v>125</v>
      </c>
      <c r="J406" s="16" t="s">
        <v>1198</v>
      </c>
    </row>
    <row r="407" ht="151.5" spans="1:10">
      <c r="A407" s="10">
        <v>405</v>
      </c>
      <c r="B407" s="11" t="s">
        <v>11</v>
      </c>
      <c r="C407" s="45" t="s">
        <v>1296</v>
      </c>
      <c r="D407" s="12" t="s">
        <v>1297</v>
      </c>
      <c r="E407" s="46" t="s">
        <v>1298</v>
      </c>
      <c r="F407" s="12" t="s">
        <v>1299</v>
      </c>
      <c r="G407" s="13" t="s">
        <v>1300</v>
      </c>
      <c r="H407" s="14" t="s">
        <v>1301</v>
      </c>
      <c r="I407" s="15">
        <v>1759</v>
      </c>
      <c r="J407" s="16" t="s">
        <v>1198</v>
      </c>
    </row>
    <row r="408" ht="30" spans="1:10">
      <c r="A408" s="10">
        <v>406</v>
      </c>
      <c r="B408" s="11" t="s">
        <v>211</v>
      </c>
      <c r="C408" s="45" t="s">
        <v>1302</v>
      </c>
      <c r="D408" s="22" t="s">
        <v>1303</v>
      </c>
      <c r="E408" s="48"/>
      <c r="F408" s="14"/>
      <c r="G408" s="13" t="s">
        <v>1300</v>
      </c>
      <c r="H408" s="14"/>
      <c r="I408" s="51">
        <f>1759*0.3</f>
        <v>527.7</v>
      </c>
      <c r="J408" s="16" t="s">
        <v>1198</v>
      </c>
    </row>
    <row r="409" ht="30" spans="1:10">
      <c r="A409" s="10">
        <v>407</v>
      </c>
      <c r="B409" s="11" t="s">
        <v>211</v>
      </c>
      <c r="C409" s="45" t="s">
        <v>1304</v>
      </c>
      <c r="D409" s="22" t="s">
        <v>1305</v>
      </c>
      <c r="E409" s="48"/>
      <c r="F409" s="14"/>
      <c r="G409" s="13" t="s">
        <v>1300</v>
      </c>
      <c r="H409" s="14"/>
      <c r="I409" s="47">
        <v>880</v>
      </c>
      <c r="J409" s="16" t="s">
        <v>1198</v>
      </c>
    </row>
    <row r="410" ht="183" spans="1:10">
      <c r="A410" s="10">
        <v>408</v>
      </c>
      <c r="B410" s="11" t="s">
        <v>211</v>
      </c>
      <c r="C410" s="45" t="s">
        <v>1306</v>
      </c>
      <c r="D410" s="12" t="s">
        <v>1307</v>
      </c>
      <c r="E410" s="46" t="s">
        <v>1308</v>
      </c>
      <c r="F410" s="12" t="s">
        <v>1309</v>
      </c>
      <c r="G410" s="13" t="s">
        <v>1300</v>
      </c>
      <c r="H410" s="14" t="s">
        <v>1310</v>
      </c>
      <c r="I410" s="47">
        <v>2558</v>
      </c>
      <c r="J410" s="16" t="s">
        <v>1198</v>
      </c>
    </row>
    <row r="411" ht="30" spans="1:10">
      <c r="A411" s="10">
        <v>409</v>
      </c>
      <c r="B411" s="11" t="s">
        <v>211</v>
      </c>
      <c r="C411" s="45" t="s">
        <v>1311</v>
      </c>
      <c r="D411" s="22" t="s">
        <v>1312</v>
      </c>
      <c r="E411" s="48"/>
      <c r="F411" s="14"/>
      <c r="G411" s="13" t="s">
        <v>1300</v>
      </c>
      <c r="H411" s="14"/>
      <c r="I411" s="19">
        <f>2558*0.3</f>
        <v>767.4</v>
      </c>
      <c r="J411" s="16" t="s">
        <v>1198</v>
      </c>
    </row>
    <row r="412" ht="30" spans="1:10">
      <c r="A412" s="10">
        <v>410</v>
      </c>
      <c r="B412" s="11" t="s">
        <v>211</v>
      </c>
      <c r="C412" s="45" t="s">
        <v>1313</v>
      </c>
      <c r="D412" s="22" t="s">
        <v>1314</v>
      </c>
      <c r="E412" s="48"/>
      <c r="F412" s="14"/>
      <c r="G412" s="13" t="s">
        <v>1300</v>
      </c>
      <c r="H412" s="14"/>
      <c r="I412" s="15">
        <v>1279</v>
      </c>
      <c r="J412" s="16" t="s">
        <v>1198</v>
      </c>
    </row>
    <row r="413" ht="57" spans="1:10">
      <c r="A413" s="10">
        <v>411</v>
      </c>
      <c r="B413" s="11" t="s">
        <v>211</v>
      </c>
      <c r="C413" s="45" t="s">
        <v>1315</v>
      </c>
      <c r="D413" s="12" t="s">
        <v>1316</v>
      </c>
      <c r="E413" s="46" t="s">
        <v>1317</v>
      </c>
      <c r="F413" s="12" t="s">
        <v>1318</v>
      </c>
      <c r="G413" s="13" t="s">
        <v>1300</v>
      </c>
      <c r="H413" s="14"/>
      <c r="I413" s="15">
        <v>3120</v>
      </c>
      <c r="J413" s="16" t="s">
        <v>1198</v>
      </c>
    </row>
    <row r="414" ht="30" spans="1:10">
      <c r="A414" s="10">
        <v>412</v>
      </c>
      <c r="B414" s="11" t="s">
        <v>211</v>
      </c>
      <c r="C414" s="45" t="s">
        <v>1319</v>
      </c>
      <c r="D414" s="22" t="s">
        <v>1320</v>
      </c>
      <c r="E414" s="48"/>
      <c r="F414" s="14"/>
      <c r="G414" s="13" t="s">
        <v>1300</v>
      </c>
      <c r="H414" s="14"/>
      <c r="I414" s="19">
        <f>3120*0.3</f>
        <v>936</v>
      </c>
      <c r="J414" s="16" t="s">
        <v>1198</v>
      </c>
    </row>
    <row r="415" ht="44.25" spans="1:10">
      <c r="A415" s="10">
        <v>413</v>
      </c>
      <c r="B415" s="11" t="s">
        <v>211</v>
      </c>
      <c r="C415" s="45" t="s">
        <v>1321</v>
      </c>
      <c r="D415" s="22" t="s">
        <v>1322</v>
      </c>
      <c r="E415" s="48"/>
      <c r="F415" s="14"/>
      <c r="G415" s="13" t="s">
        <v>1300</v>
      </c>
      <c r="H415" s="14"/>
      <c r="I415" s="15">
        <v>1560</v>
      </c>
      <c r="J415" s="16" t="s">
        <v>1198</v>
      </c>
    </row>
    <row r="416" ht="57" spans="1:10">
      <c r="A416" s="10">
        <v>414</v>
      </c>
      <c r="B416" s="11" t="s">
        <v>211</v>
      </c>
      <c r="C416" s="45" t="s">
        <v>1323</v>
      </c>
      <c r="D416" s="12" t="s">
        <v>1324</v>
      </c>
      <c r="E416" s="46" t="s">
        <v>1325</v>
      </c>
      <c r="F416" s="12" t="s">
        <v>1326</v>
      </c>
      <c r="G416" s="13" t="s">
        <v>1300</v>
      </c>
      <c r="H416" s="14"/>
      <c r="I416" s="15">
        <v>4196</v>
      </c>
      <c r="J416" s="16" t="s">
        <v>1198</v>
      </c>
    </row>
    <row r="417" ht="30" spans="1:10">
      <c r="A417" s="10">
        <v>415</v>
      </c>
      <c r="B417" s="11" t="s">
        <v>211</v>
      </c>
      <c r="C417" s="45" t="s">
        <v>1327</v>
      </c>
      <c r="D417" s="22" t="s">
        <v>1328</v>
      </c>
      <c r="E417" s="48"/>
      <c r="F417" s="14"/>
      <c r="G417" s="13" t="s">
        <v>1300</v>
      </c>
      <c r="H417" s="14"/>
      <c r="I417" s="51">
        <f>4196*0.3</f>
        <v>1258.8</v>
      </c>
      <c r="J417" s="16" t="s">
        <v>1198</v>
      </c>
    </row>
    <row r="418" ht="71.25" spans="1:10">
      <c r="A418" s="10">
        <v>416</v>
      </c>
      <c r="B418" s="11" t="s">
        <v>211</v>
      </c>
      <c r="C418" s="45" t="s">
        <v>1329</v>
      </c>
      <c r="D418" s="12" t="s">
        <v>1330</v>
      </c>
      <c r="E418" s="46" t="s">
        <v>1331</v>
      </c>
      <c r="F418" s="12" t="s">
        <v>1332</v>
      </c>
      <c r="G418" s="13" t="s">
        <v>16</v>
      </c>
      <c r="H418" s="14"/>
      <c r="I418" s="47">
        <v>1073</v>
      </c>
      <c r="J418" s="16" t="s">
        <v>1198</v>
      </c>
    </row>
    <row r="419" ht="30" spans="1:10">
      <c r="A419" s="10">
        <v>417</v>
      </c>
      <c r="B419" s="11" t="s">
        <v>211</v>
      </c>
      <c r="C419" s="45" t="s">
        <v>1333</v>
      </c>
      <c r="D419" s="22" t="s">
        <v>1334</v>
      </c>
      <c r="E419" s="48"/>
      <c r="F419" s="14"/>
      <c r="G419" s="13" t="s">
        <v>16</v>
      </c>
      <c r="H419" s="14"/>
      <c r="I419" s="51">
        <f>1073*0.3</f>
        <v>321.9</v>
      </c>
      <c r="J419" s="16" t="s">
        <v>1198</v>
      </c>
    </row>
    <row r="420" ht="44.25" spans="1:10">
      <c r="A420" s="10">
        <v>418</v>
      </c>
      <c r="B420" s="11" t="s">
        <v>211</v>
      </c>
      <c r="C420" s="45" t="s">
        <v>1335</v>
      </c>
      <c r="D420" s="22" t="s">
        <v>1336</v>
      </c>
      <c r="E420" s="48"/>
      <c r="F420" s="14"/>
      <c r="G420" s="13" t="s">
        <v>16</v>
      </c>
      <c r="H420" s="14"/>
      <c r="I420" s="47">
        <v>1073</v>
      </c>
      <c r="J420" s="16" t="s">
        <v>1198</v>
      </c>
    </row>
    <row r="421" ht="57" spans="1:10">
      <c r="A421" s="10">
        <v>419</v>
      </c>
      <c r="B421" s="11" t="s">
        <v>211</v>
      </c>
      <c r="C421" s="45" t="s">
        <v>1337</v>
      </c>
      <c r="D421" s="12" t="s">
        <v>1338</v>
      </c>
      <c r="E421" s="46" t="s">
        <v>1339</v>
      </c>
      <c r="F421" s="12" t="s">
        <v>1340</v>
      </c>
      <c r="G421" s="13" t="s">
        <v>1300</v>
      </c>
      <c r="H421" s="14"/>
      <c r="I421" s="47">
        <v>3449</v>
      </c>
      <c r="J421" s="16" t="s">
        <v>1198</v>
      </c>
    </row>
    <row r="422" ht="30" spans="1:10">
      <c r="A422" s="10">
        <v>420</v>
      </c>
      <c r="B422" s="11" t="s">
        <v>211</v>
      </c>
      <c r="C422" s="45" t="s">
        <v>1341</v>
      </c>
      <c r="D422" s="22" t="s">
        <v>1342</v>
      </c>
      <c r="E422" s="48"/>
      <c r="F422" s="14"/>
      <c r="G422" s="13" t="s">
        <v>1300</v>
      </c>
      <c r="H422" s="14"/>
      <c r="I422" s="51">
        <f>3449*0.3</f>
        <v>1034.7</v>
      </c>
      <c r="J422" s="16" t="s">
        <v>1198</v>
      </c>
    </row>
    <row r="423" ht="30" spans="1:10">
      <c r="A423" s="10">
        <v>421</v>
      </c>
      <c r="B423" s="11" t="s">
        <v>211</v>
      </c>
      <c r="C423" s="45" t="s">
        <v>1343</v>
      </c>
      <c r="D423" s="22" t="s">
        <v>1344</v>
      </c>
      <c r="E423" s="48"/>
      <c r="F423" s="14"/>
      <c r="G423" s="13" t="s">
        <v>1300</v>
      </c>
      <c r="H423" s="14"/>
      <c r="I423" s="47">
        <v>345</v>
      </c>
      <c r="J423" s="16" t="s">
        <v>1198</v>
      </c>
    </row>
    <row r="424" ht="57" spans="1:10">
      <c r="A424" s="10">
        <v>422</v>
      </c>
      <c r="B424" s="11" t="s">
        <v>211</v>
      </c>
      <c r="C424" s="45" t="s">
        <v>1345</v>
      </c>
      <c r="D424" s="12" t="s">
        <v>1346</v>
      </c>
      <c r="E424" s="46" t="s">
        <v>1347</v>
      </c>
      <c r="F424" s="12" t="s">
        <v>1340</v>
      </c>
      <c r="G424" s="13" t="s">
        <v>1300</v>
      </c>
      <c r="H424" s="14"/>
      <c r="I424" s="47">
        <v>2145</v>
      </c>
      <c r="J424" s="16" t="s">
        <v>1198</v>
      </c>
    </row>
    <row r="425" ht="30" spans="1:10">
      <c r="A425" s="10">
        <v>423</v>
      </c>
      <c r="B425" s="11" t="s">
        <v>211</v>
      </c>
      <c r="C425" s="45" t="s">
        <v>1348</v>
      </c>
      <c r="D425" s="22" t="s">
        <v>1349</v>
      </c>
      <c r="E425" s="48"/>
      <c r="F425" s="14"/>
      <c r="G425" s="13" t="s">
        <v>1300</v>
      </c>
      <c r="H425" s="14"/>
      <c r="I425" s="51">
        <f>2145*0.3</f>
        <v>643.5</v>
      </c>
      <c r="J425" s="16" t="s">
        <v>1198</v>
      </c>
    </row>
    <row r="426" ht="71.25" spans="1:10">
      <c r="A426" s="10">
        <v>424</v>
      </c>
      <c r="B426" s="11" t="s">
        <v>211</v>
      </c>
      <c r="C426" s="45" t="s">
        <v>1350</v>
      </c>
      <c r="D426" s="12" t="s">
        <v>1351</v>
      </c>
      <c r="E426" s="46" t="s">
        <v>1352</v>
      </c>
      <c r="F426" s="12" t="s">
        <v>1353</v>
      </c>
      <c r="G426" s="13" t="s">
        <v>1300</v>
      </c>
      <c r="H426" s="14"/>
      <c r="I426" s="47">
        <v>1759</v>
      </c>
      <c r="J426" s="16" t="s">
        <v>1198</v>
      </c>
    </row>
    <row r="427" ht="30" spans="1:10">
      <c r="A427" s="10">
        <v>425</v>
      </c>
      <c r="B427" s="11" t="s">
        <v>211</v>
      </c>
      <c r="C427" s="45" t="s">
        <v>1354</v>
      </c>
      <c r="D427" s="22" t="s">
        <v>1355</v>
      </c>
      <c r="E427" s="48"/>
      <c r="F427" s="52"/>
      <c r="G427" s="13" t="s">
        <v>1300</v>
      </c>
      <c r="H427" s="14"/>
      <c r="I427" s="19">
        <f>1759*0.3</f>
        <v>527.7</v>
      </c>
      <c r="J427" s="16" t="s">
        <v>1198</v>
      </c>
    </row>
    <row r="428" ht="44.25" spans="1:10">
      <c r="A428" s="10">
        <v>426</v>
      </c>
      <c r="B428" s="11" t="s">
        <v>211</v>
      </c>
      <c r="C428" s="45" t="s">
        <v>1356</v>
      </c>
      <c r="D428" s="22" t="s">
        <v>1357</v>
      </c>
      <c r="E428" s="48"/>
      <c r="F428" s="52"/>
      <c r="G428" s="13" t="s">
        <v>1300</v>
      </c>
      <c r="H428" s="14"/>
      <c r="I428" s="15">
        <v>880</v>
      </c>
      <c r="J428" s="16" t="s">
        <v>1198</v>
      </c>
    </row>
    <row r="429" ht="91.5" spans="1:10">
      <c r="A429" s="10">
        <v>427</v>
      </c>
      <c r="B429" s="11" t="s">
        <v>211</v>
      </c>
      <c r="C429" s="45" t="s">
        <v>1358</v>
      </c>
      <c r="D429" s="22" t="s">
        <v>1359</v>
      </c>
      <c r="E429" s="46" t="s">
        <v>1360</v>
      </c>
      <c r="F429" s="53" t="s">
        <v>1361</v>
      </c>
      <c r="G429" s="27" t="s">
        <v>16</v>
      </c>
      <c r="H429" s="14" t="s">
        <v>1362</v>
      </c>
      <c r="I429" s="15">
        <v>5512</v>
      </c>
      <c r="J429" s="16" t="s">
        <v>1198</v>
      </c>
    </row>
    <row r="430" ht="30" spans="1:10">
      <c r="A430" s="10">
        <v>428</v>
      </c>
      <c r="B430" s="11" t="s">
        <v>211</v>
      </c>
      <c r="C430" s="45" t="s">
        <v>1363</v>
      </c>
      <c r="D430" s="22" t="s">
        <v>1364</v>
      </c>
      <c r="E430" s="48"/>
      <c r="F430" s="52"/>
      <c r="G430" s="27" t="s">
        <v>16</v>
      </c>
      <c r="H430" s="14"/>
      <c r="I430" s="19">
        <f>5512*0.3</f>
        <v>1653.6</v>
      </c>
      <c r="J430" s="16" t="s">
        <v>1198</v>
      </c>
    </row>
    <row r="431" ht="77.25" spans="1:10">
      <c r="A431" s="10">
        <v>429</v>
      </c>
      <c r="B431" s="11" t="s">
        <v>211</v>
      </c>
      <c r="C431" s="45" t="s">
        <v>1365</v>
      </c>
      <c r="D431" s="22" t="s">
        <v>1366</v>
      </c>
      <c r="E431" s="46" t="s">
        <v>1360</v>
      </c>
      <c r="F431" s="53" t="s">
        <v>1361</v>
      </c>
      <c r="G431" s="27" t="s">
        <v>16</v>
      </c>
      <c r="H431" s="14" t="s">
        <v>1367</v>
      </c>
      <c r="I431" s="15">
        <v>9074</v>
      </c>
      <c r="J431" s="16" t="s">
        <v>1198</v>
      </c>
    </row>
    <row r="432" ht="30" spans="1:10">
      <c r="A432" s="10">
        <v>430</v>
      </c>
      <c r="B432" s="11" t="s">
        <v>211</v>
      </c>
      <c r="C432" s="45" t="s">
        <v>1368</v>
      </c>
      <c r="D432" s="22" t="s">
        <v>1369</v>
      </c>
      <c r="E432" s="54"/>
      <c r="F432" s="20"/>
      <c r="G432" s="27" t="s">
        <v>16</v>
      </c>
      <c r="H432" s="14"/>
      <c r="I432" s="19">
        <f>9074*0.3</f>
        <v>2722.2</v>
      </c>
      <c r="J432" s="16" t="s">
        <v>1198</v>
      </c>
    </row>
    <row r="433" ht="42.75" spans="1:10">
      <c r="A433" s="10">
        <v>431</v>
      </c>
      <c r="B433" s="11" t="s">
        <v>211</v>
      </c>
      <c r="C433" s="45" t="s">
        <v>1370</v>
      </c>
      <c r="D433" s="22" t="s">
        <v>1371</v>
      </c>
      <c r="E433" s="55" t="s">
        <v>1372</v>
      </c>
      <c r="F433" s="22" t="s">
        <v>1373</v>
      </c>
      <c r="G433" s="27" t="s">
        <v>16</v>
      </c>
      <c r="H433" s="14"/>
      <c r="I433" s="15">
        <v>1081</v>
      </c>
      <c r="J433" s="16" t="s">
        <v>1198</v>
      </c>
    </row>
    <row r="434" ht="30" spans="1:10">
      <c r="A434" s="10">
        <v>432</v>
      </c>
      <c r="B434" s="11" t="s">
        <v>211</v>
      </c>
      <c r="C434" s="45" t="s">
        <v>1374</v>
      </c>
      <c r="D434" s="22" t="s">
        <v>1375</v>
      </c>
      <c r="E434" s="54"/>
      <c r="F434" s="20"/>
      <c r="G434" s="27" t="s">
        <v>16</v>
      </c>
      <c r="H434" s="14"/>
      <c r="I434" s="19">
        <f>1081*0.3</f>
        <v>324.3</v>
      </c>
      <c r="J434" s="16" t="s">
        <v>1198</v>
      </c>
    </row>
    <row r="435" ht="91.5" spans="1:10">
      <c r="A435" s="10">
        <v>433</v>
      </c>
      <c r="B435" s="11" t="s">
        <v>211</v>
      </c>
      <c r="C435" s="45" t="s">
        <v>1376</v>
      </c>
      <c r="D435" s="22" t="s">
        <v>1377</v>
      </c>
      <c r="E435" s="46" t="s">
        <v>1378</v>
      </c>
      <c r="F435" s="12" t="s">
        <v>1361</v>
      </c>
      <c r="G435" s="27" t="s">
        <v>16</v>
      </c>
      <c r="H435" s="14" t="s">
        <v>1379</v>
      </c>
      <c r="I435" s="15">
        <v>3148</v>
      </c>
      <c r="J435" s="16" t="s">
        <v>1198</v>
      </c>
    </row>
    <row r="436" ht="30" spans="1:10">
      <c r="A436" s="10">
        <v>434</v>
      </c>
      <c r="B436" s="11" t="s">
        <v>211</v>
      </c>
      <c r="C436" s="45" t="s">
        <v>1380</v>
      </c>
      <c r="D436" s="22" t="s">
        <v>1381</v>
      </c>
      <c r="E436" s="54"/>
      <c r="F436" s="20"/>
      <c r="G436" s="27" t="s">
        <v>16</v>
      </c>
      <c r="H436" s="14"/>
      <c r="I436" s="19">
        <f>3148*0.3</f>
        <v>944.4</v>
      </c>
      <c r="J436" s="16" t="s">
        <v>1198</v>
      </c>
    </row>
    <row r="437" ht="42.75" spans="1:10">
      <c r="A437" s="10">
        <v>435</v>
      </c>
      <c r="B437" s="11" t="s">
        <v>211</v>
      </c>
      <c r="C437" s="45" t="s">
        <v>1382</v>
      </c>
      <c r="D437" s="22" t="s">
        <v>1383</v>
      </c>
      <c r="E437" s="55" t="s">
        <v>1384</v>
      </c>
      <c r="F437" s="22" t="s">
        <v>1373</v>
      </c>
      <c r="G437" s="27" t="s">
        <v>16</v>
      </c>
      <c r="H437" s="14"/>
      <c r="I437" s="15">
        <v>555</v>
      </c>
      <c r="J437" s="16" t="s">
        <v>1198</v>
      </c>
    </row>
    <row r="438" ht="30" spans="1:10">
      <c r="A438" s="10">
        <v>436</v>
      </c>
      <c r="B438" s="11" t="s">
        <v>211</v>
      </c>
      <c r="C438" s="45" t="s">
        <v>1385</v>
      </c>
      <c r="D438" s="22" t="s">
        <v>1386</v>
      </c>
      <c r="E438" s="54"/>
      <c r="F438" s="56"/>
      <c r="G438" s="27" t="s">
        <v>16</v>
      </c>
      <c r="H438" s="14"/>
      <c r="I438" s="19">
        <f>555*0.3</f>
        <v>166.5</v>
      </c>
      <c r="J438" s="16" t="s">
        <v>1198</v>
      </c>
    </row>
    <row r="439" ht="57" spans="1:10">
      <c r="A439" s="10">
        <v>437</v>
      </c>
      <c r="B439" s="11" t="s">
        <v>211</v>
      </c>
      <c r="C439" s="45" t="s">
        <v>1387</v>
      </c>
      <c r="D439" s="22" t="s">
        <v>1388</v>
      </c>
      <c r="E439" s="55" t="s">
        <v>1389</v>
      </c>
      <c r="F439" s="57" t="s">
        <v>1361</v>
      </c>
      <c r="G439" s="27" t="s">
        <v>16</v>
      </c>
      <c r="H439" s="12" t="s">
        <v>1390</v>
      </c>
      <c r="I439" s="15">
        <v>1875</v>
      </c>
      <c r="J439" s="16" t="s">
        <v>1198</v>
      </c>
    </row>
    <row r="440" ht="30" spans="1:10">
      <c r="A440" s="10">
        <v>438</v>
      </c>
      <c r="B440" s="11" t="s">
        <v>211</v>
      </c>
      <c r="C440" s="45" t="s">
        <v>1391</v>
      </c>
      <c r="D440" s="22" t="s">
        <v>1392</v>
      </c>
      <c r="E440" s="54"/>
      <c r="F440" s="20"/>
      <c r="G440" s="27" t="s">
        <v>16</v>
      </c>
      <c r="H440" s="14"/>
      <c r="I440" s="19">
        <f>1875*0.3</f>
        <v>562.5</v>
      </c>
      <c r="J440" s="16" t="s">
        <v>1198</v>
      </c>
    </row>
    <row r="441" ht="30" spans="1:10">
      <c r="A441" s="10">
        <v>439</v>
      </c>
      <c r="B441" s="11" t="s">
        <v>211</v>
      </c>
      <c r="C441" s="45" t="s">
        <v>1393</v>
      </c>
      <c r="D441" s="22" t="s">
        <v>1394</v>
      </c>
      <c r="E441" s="54"/>
      <c r="F441" s="20"/>
      <c r="G441" s="27" t="s">
        <v>16</v>
      </c>
      <c r="H441" s="14"/>
      <c r="I441" s="15">
        <v>1875</v>
      </c>
      <c r="J441" s="16" t="s">
        <v>1198</v>
      </c>
    </row>
    <row r="442" ht="44.25" spans="1:10">
      <c r="A442" s="10">
        <v>440</v>
      </c>
      <c r="B442" s="11" t="s">
        <v>211</v>
      </c>
      <c r="C442" s="45" t="s">
        <v>1395</v>
      </c>
      <c r="D442" s="22" t="s">
        <v>1396</v>
      </c>
      <c r="E442" s="54"/>
      <c r="F442" s="20"/>
      <c r="G442" s="27" t="s">
        <v>16</v>
      </c>
      <c r="H442" s="14"/>
      <c r="I442" s="15">
        <v>1875</v>
      </c>
      <c r="J442" s="16" t="s">
        <v>1198</v>
      </c>
    </row>
    <row r="443" ht="42.75" spans="1:10">
      <c r="A443" s="10">
        <v>441</v>
      </c>
      <c r="B443" s="11" t="s">
        <v>211</v>
      </c>
      <c r="C443" s="45" t="s">
        <v>1397</v>
      </c>
      <c r="D443" s="22" t="s">
        <v>1398</v>
      </c>
      <c r="E443" s="55" t="s">
        <v>1399</v>
      </c>
      <c r="F443" s="22" t="s">
        <v>1373</v>
      </c>
      <c r="G443" s="27" t="s">
        <v>16</v>
      </c>
      <c r="H443" s="14"/>
      <c r="I443" s="15">
        <v>840</v>
      </c>
      <c r="J443" s="16" t="s">
        <v>1198</v>
      </c>
    </row>
    <row r="444" ht="30" spans="1:10">
      <c r="A444" s="10">
        <v>442</v>
      </c>
      <c r="B444" s="11" t="s">
        <v>211</v>
      </c>
      <c r="C444" s="45" t="s">
        <v>1400</v>
      </c>
      <c r="D444" s="22" t="s">
        <v>1401</v>
      </c>
      <c r="E444" s="48"/>
      <c r="F444" s="14"/>
      <c r="G444" s="27" t="s">
        <v>16</v>
      </c>
      <c r="H444" s="14"/>
      <c r="I444" s="19">
        <f>840*0.3</f>
        <v>252</v>
      </c>
      <c r="J444" s="16" t="s">
        <v>1198</v>
      </c>
    </row>
    <row r="445" ht="57" spans="1:10">
      <c r="A445" s="10">
        <v>443</v>
      </c>
      <c r="B445" s="11" t="s">
        <v>177</v>
      </c>
      <c r="C445" s="45" t="s">
        <v>1402</v>
      </c>
      <c r="D445" s="22" t="s">
        <v>1403</v>
      </c>
      <c r="E445" s="46" t="s">
        <v>1404</v>
      </c>
      <c r="F445" s="12" t="s">
        <v>1405</v>
      </c>
      <c r="G445" s="27" t="s">
        <v>303</v>
      </c>
      <c r="H445" s="14"/>
      <c r="I445" s="15">
        <v>164</v>
      </c>
      <c r="J445" s="16" t="s">
        <v>1198</v>
      </c>
    </row>
    <row r="446" ht="42.75" spans="1:10">
      <c r="A446" s="10">
        <v>444</v>
      </c>
      <c r="B446" s="11" t="s">
        <v>211</v>
      </c>
      <c r="C446" s="45" t="s">
        <v>1406</v>
      </c>
      <c r="D446" s="22" t="s">
        <v>1407</v>
      </c>
      <c r="E446" s="58" t="s">
        <v>1408</v>
      </c>
      <c r="F446" s="22" t="s">
        <v>1409</v>
      </c>
      <c r="G446" s="27" t="s">
        <v>16</v>
      </c>
      <c r="H446" s="12" t="s">
        <v>1410</v>
      </c>
      <c r="I446" s="15">
        <v>2075</v>
      </c>
      <c r="J446" s="16" t="s">
        <v>1198</v>
      </c>
    </row>
    <row r="447" ht="15.75" spans="1:10">
      <c r="A447" s="10">
        <v>445</v>
      </c>
      <c r="B447" s="11" t="s">
        <v>211</v>
      </c>
      <c r="C447" s="45" t="s">
        <v>1411</v>
      </c>
      <c r="D447" s="22" t="s">
        <v>1412</v>
      </c>
      <c r="E447" s="48"/>
      <c r="F447" s="14"/>
      <c r="G447" s="27" t="s">
        <v>16</v>
      </c>
      <c r="H447" s="14"/>
      <c r="I447" s="19">
        <f>2075*0.3</f>
        <v>622.5</v>
      </c>
      <c r="J447" s="16" t="s">
        <v>1198</v>
      </c>
    </row>
    <row r="448" ht="61.5" spans="1:10">
      <c r="A448" s="10">
        <v>446</v>
      </c>
      <c r="B448" s="11" t="s">
        <v>211</v>
      </c>
      <c r="C448" s="45" t="s">
        <v>1413</v>
      </c>
      <c r="D448" s="22" t="s">
        <v>1414</v>
      </c>
      <c r="E448" s="46" t="s">
        <v>1415</v>
      </c>
      <c r="F448" s="12" t="s">
        <v>1416</v>
      </c>
      <c r="G448" s="13" t="s">
        <v>16</v>
      </c>
      <c r="H448" s="14" t="s">
        <v>1417</v>
      </c>
      <c r="I448" s="15">
        <v>1731</v>
      </c>
      <c r="J448" s="16" t="s">
        <v>1198</v>
      </c>
    </row>
    <row r="449" ht="30" spans="1:10">
      <c r="A449" s="10">
        <v>447</v>
      </c>
      <c r="B449" s="11" t="s">
        <v>211</v>
      </c>
      <c r="C449" s="45" t="s">
        <v>1418</v>
      </c>
      <c r="D449" s="22" t="s">
        <v>1419</v>
      </c>
      <c r="E449" s="54"/>
      <c r="F449" s="14"/>
      <c r="G449" s="13" t="s">
        <v>16</v>
      </c>
      <c r="H449" s="14"/>
      <c r="I449" s="19">
        <f>1731*0.3</f>
        <v>519.3</v>
      </c>
      <c r="J449" s="16" t="s">
        <v>1198</v>
      </c>
    </row>
    <row r="450" ht="30" spans="1:10">
      <c r="A450" s="10">
        <v>448</v>
      </c>
      <c r="B450" s="11" t="s">
        <v>211</v>
      </c>
      <c r="C450" s="45" t="s">
        <v>1420</v>
      </c>
      <c r="D450" s="22" t="s">
        <v>1421</v>
      </c>
      <c r="E450" s="54"/>
      <c r="F450" s="14"/>
      <c r="G450" s="13" t="s">
        <v>16</v>
      </c>
      <c r="H450" s="14"/>
      <c r="I450" s="15">
        <v>346</v>
      </c>
      <c r="J450" s="16" t="s">
        <v>1198</v>
      </c>
    </row>
    <row r="451" ht="30" spans="1:10">
      <c r="A451" s="10">
        <v>449</v>
      </c>
      <c r="B451" s="11" t="s">
        <v>211</v>
      </c>
      <c r="C451" s="45" t="s">
        <v>1422</v>
      </c>
      <c r="D451" s="22" t="s">
        <v>1423</v>
      </c>
      <c r="E451" s="54"/>
      <c r="F451" s="14"/>
      <c r="G451" s="13" t="s">
        <v>16</v>
      </c>
      <c r="H451" s="59" t="s">
        <v>1424</v>
      </c>
      <c r="I451" s="15">
        <v>346</v>
      </c>
      <c r="J451" s="16" t="s">
        <v>1198</v>
      </c>
    </row>
    <row r="452" ht="42.75" spans="1:10">
      <c r="A452" s="10">
        <v>450</v>
      </c>
      <c r="B452" s="11" t="s">
        <v>211</v>
      </c>
      <c r="C452" s="45" t="s">
        <v>1425</v>
      </c>
      <c r="D452" s="22" t="s">
        <v>1426</v>
      </c>
      <c r="E452" s="55" t="s">
        <v>1427</v>
      </c>
      <c r="F452" s="12" t="s">
        <v>1428</v>
      </c>
      <c r="G452" s="27" t="s">
        <v>16</v>
      </c>
      <c r="H452" s="14"/>
      <c r="I452" s="15">
        <v>523</v>
      </c>
      <c r="J452" s="16" t="s">
        <v>1198</v>
      </c>
    </row>
    <row r="453" ht="30" spans="1:10">
      <c r="A453" s="10">
        <v>451</v>
      </c>
      <c r="B453" s="11" t="s">
        <v>211</v>
      </c>
      <c r="C453" s="45" t="s">
        <v>1429</v>
      </c>
      <c r="D453" s="22" t="s">
        <v>1430</v>
      </c>
      <c r="E453" s="48"/>
      <c r="F453" s="14"/>
      <c r="G453" s="27" t="s">
        <v>16</v>
      </c>
      <c r="H453" s="14"/>
      <c r="I453" s="19">
        <f>523*0.3</f>
        <v>156.9</v>
      </c>
      <c r="J453" s="16" t="s">
        <v>1198</v>
      </c>
    </row>
    <row r="454" ht="93" spans="1:10">
      <c r="A454" s="10">
        <v>452</v>
      </c>
      <c r="B454" s="11" t="s">
        <v>211</v>
      </c>
      <c r="C454" s="45" t="s">
        <v>1431</v>
      </c>
      <c r="D454" s="22" t="s">
        <v>1432</v>
      </c>
      <c r="E454" s="46" t="s">
        <v>1433</v>
      </c>
      <c r="F454" s="12" t="s">
        <v>1434</v>
      </c>
      <c r="G454" s="27" t="s">
        <v>16</v>
      </c>
      <c r="H454" s="14" t="s">
        <v>1435</v>
      </c>
      <c r="I454" s="15">
        <v>2269</v>
      </c>
      <c r="J454" s="16" t="s">
        <v>1198</v>
      </c>
    </row>
    <row r="455" ht="30" spans="1:10">
      <c r="A455" s="10">
        <v>453</v>
      </c>
      <c r="B455" s="11" t="s">
        <v>211</v>
      </c>
      <c r="C455" s="45" t="s">
        <v>1436</v>
      </c>
      <c r="D455" s="22" t="s">
        <v>1437</v>
      </c>
      <c r="E455" s="48"/>
      <c r="F455" s="14"/>
      <c r="G455" s="27" t="s">
        <v>16</v>
      </c>
      <c r="H455" s="14"/>
      <c r="I455" s="19">
        <f>2269*0.3</f>
        <v>680.7</v>
      </c>
      <c r="J455" s="16" t="s">
        <v>1198</v>
      </c>
    </row>
    <row r="456" ht="42.75" spans="1:10">
      <c r="A456" s="10">
        <v>454</v>
      </c>
      <c r="B456" s="11" t="s">
        <v>211</v>
      </c>
      <c r="C456" s="45" t="s">
        <v>1438</v>
      </c>
      <c r="D456" s="22" t="s">
        <v>1439</v>
      </c>
      <c r="E456" s="46" t="s">
        <v>1440</v>
      </c>
      <c r="F456" s="12" t="s">
        <v>1373</v>
      </c>
      <c r="G456" s="27" t="s">
        <v>16</v>
      </c>
      <c r="H456" s="14"/>
      <c r="I456" s="15">
        <v>1383</v>
      </c>
      <c r="J456" s="16" t="s">
        <v>1198</v>
      </c>
    </row>
    <row r="457" ht="30" spans="1:10">
      <c r="A457" s="10">
        <v>455</v>
      </c>
      <c r="B457" s="11" t="s">
        <v>211</v>
      </c>
      <c r="C457" s="45" t="s">
        <v>1441</v>
      </c>
      <c r="D457" s="22" t="s">
        <v>1442</v>
      </c>
      <c r="E457" s="48"/>
      <c r="F457" s="14"/>
      <c r="G457" s="27" t="s">
        <v>16</v>
      </c>
      <c r="H457" s="14"/>
      <c r="I457" s="19">
        <f>1383*0.3</f>
        <v>414.9</v>
      </c>
      <c r="J457" s="16" t="s">
        <v>1198</v>
      </c>
    </row>
    <row r="458" ht="47.25" spans="1:10">
      <c r="A458" s="10">
        <v>456</v>
      </c>
      <c r="B458" s="11" t="s">
        <v>211</v>
      </c>
      <c r="C458" s="45" t="s">
        <v>1443</v>
      </c>
      <c r="D458" s="22" t="s">
        <v>1444</v>
      </c>
      <c r="E458" s="46" t="s">
        <v>1445</v>
      </c>
      <c r="F458" s="12" t="s">
        <v>1446</v>
      </c>
      <c r="G458" s="27" t="s">
        <v>16</v>
      </c>
      <c r="H458" s="12" t="s">
        <v>1447</v>
      </c>
      <c r="I458" s="15">
        <v>2767</v>
      </c>
      <c r="J458" s="16" t="s">
        <v>1198</v>
      </c>
    </row>
    <row r="459" ht="30" spans="1:10">
      <c r="A459" s="10">
        <v>457</v>
      </c>
      <c r="B459" s="11" t="s">
        <v>211</v>
      </c>
      <c r="C459" s="45" t="s">
        <v>1448</v>
      </c>
      <c r="D459" s="22" t="s">
        <v>1449</v>
      </c>
      <c r="E459" s="60"/>
      <c r="F459" s="20"/>
      <c r="G459" s="27" t="s">
        <v>16</v>
      </c>
      <c r="H459" s="14"/>
      <c r="I459" s="19">
        <f>2767*0.3</f>
        <v>830.1</v>
      </c>
      <c r="J459" s="16" t="s">
        <v>1198</v>
      </c>
    </row>
    <row r="460" ht="42.75" spans="1:10">
      <c r="A460" s="10">
        <v>458</v>
      </c>
      <c r="B460" s="11" t="s">
        <v>211</v>
      </c>
      <c r="C460" s="45" t="s">
        <v>1450</v>
      </c>
      <c r="D460" s="22" t="s">
        <v>1451</v>
      </c>
      <c r="E460" s="58" t="s">
        <v>1452</v>
      </c>
      <c r="F460" s="22" t="s">
        <v>1453</v>
      </c>
      <c r="G460" s="27" t="s">
        <v>16</v>
      </c>
      <c r="H460" s="14"/>
      <c r="I460" s="15">
        <v>3090</v>
      </c>
      <c r="J460" s="16" t="s">
        <v>1198</v>
      </c>
    </row>
    <row r="461" ht="30" spans="1:10">
      <c r="A461" s="10">
        <v>459</v>
      </c>
      <c r="B461" s="11" t="s">
        <v>211</v>
      </c>
      <c r="C461" s="45" t="s">
        <v>1454</v>
      </c>
      <c r="D461" s="22" t="s">
        <v>1455</v>
      </c>
      <c r="E461" s="48"/>
      <c r="F461" s="52"/>
      <c r="G461" s="27" t="s">
        <v>16</v>
      </c>
      <c r="H461" s="14"/>
      <c r="I461" s="19">
        <f>3090*0.3</f>
        <v>927</v>
      </c>
      <c r="J461" s="16" t="s">
        <v>1198</v>
      </c>
    </row>
    <row r="462" ht="42.75" spans="1:10">
      <c r="A462" s="10">
        <v>460</v>
      </c>
      <c r="B462" s="11" t="s">
        <v>211</v>
      </c>
      <c r="C462" s="45" t="s">
        <v>1456</v>
      </c>
      <c r="D462" s="22" t="s">
        <v>1457</v>
      </c>
      <c r="E462" s="46" t="s">
        <v>1458</v>
      </c>
      <c r="F462" s="53" t="s">
        <v>1459</v>
      </c>
      <c r="G462" s="27" t="s">
        <v>16</v>
      </c>
      <c r="H462" s="14"/>
      <c r="I462" s="15">
        <v>5601</v>
      </c>
      <c r="J462" s="16" t="s">
        <v>1198</v>
      </c>
    </row>
    <row r="463" ht="30" spans="1:10">
      <c r="A463" s="10">
        <v>461</v>
      </c>
      <c r="B463" s="11" t="s">
        <v>211</v>
      </c>
      <c r="C463" s="45" t="s">
        <v>1460</v>
      </c>
      <c r="D463" s="22" t="s">
        <v>1461</v>
      </c>
      <c r="E463" s="48"/>
      <c r="F463" s="52"/>
      <c r="G463" s="27" t="s">
        <v>16</v>
      </c>
      <c r="H463" s="14"/>
      <c r="I463" s="19">
        <f>5601*0.3</f>
        <v>1680.3</v>
      </c>
      <c r="J463" s="16" t="s">
        <v>1198</v>
      </c>
    </row>
    <row r="464" ht="102.75" spans="1:10">
      <c r="A464" s="10">
        <v>462</v>
      </c>
      <c r="B464" s="11" t="s">
        <v>211</v>
      </c>
      <c r="C464" s="45" t="s">
        <v>1462</v>
      </c>
      <c r="D464" s="22" t="s">
        <v>1463</v>
      </c>
      <c r="E464" s="46" t="s">
        <v>1464</v>
      </c>
      <c r="F464" s="53" t="s">
        <v>1459</v>
      </c>
      <c r="G464" s="27" t="s">
        <v>16</v>
      </c>
      <c r="H464" s="12" t="s">
        <v>1465</v>
      </c>
      <c r="I464" s="15">
        <v>8176</v>
      </c>
      <c r="J464" s="16" t="s">
        <v>1198</v>
      </c>
    </row>
    <row r="465" ht="30" spans="1:10">
      <c r="A465" s="10">
        <v>463</v>
      </c>
      <c r="B465" s="11" t="s">
        <v>211</v>
      </c>
      <c r="C465" s="45" t="s">
        <v>1466</v>
      </c>
      <c r="D465" s="22" t="s">
        <v>1467</v>
      </c>
      <c r="E465" s="54"/>
      <c r="F465" s="52"/>
      <c r="G465" s="27" t="s">
        <v>16</v>
      </c>
      <c r="H465" s="14"/>
      <c r="I465" s="19">
        <f>8176*0.3</f>
        <v>2452.8</v>
      </c>
      <c r="J465" s="16" t="s">
        <v>1198</v>
      </c>
    </row>
    <row r="466" ht="42.75" spans="1:10">
      <c r="A466" s="10">
        <v>464</v>
      </c>
      <c r="B466" s="11" t="s">
        <v>211</v>
      </c>
      <c r="C466" s="45" t="s">
        <v>1468</v>
      </c>
      <c r="D466" s="22" t="s">
        <v>1469</v>
      </c>
      <c r="E466" s="55" t="s">
        <v>1470</v>
      </c>
      <c r="F466" s="53" t="s">
        <v>1459</v>
      </c>
      <c r="G466" s="27" t="s">
        <v>16</v>
      </c>
      <c r="H466" s="14"/>
      <c r="I466" s="15">
        <v>8320</v>
      </c>
      <c r="J466" s="16" t="s">
        <v>1198</v>
      </c>
    </row>
    <row r="467" ht="30" spans="1:10">
      <c r="A467" s="10">
        <v>465</v>
      </c>
      <c r="B467" s="11" t="s">
        <v>211</v>
      </c>
      <c r="C467" s="45" t="s">
        <v>1471</v>
      </c>
      <c r="D467" s="22" t="s">
        <v>1472</v>
      </c>
      <c r="E467" s="54"/>
      <c r="F467" s="52"/>
      <c r="G467" s="27" t="s">
        <v>16</v>
      </c>
      <c r="H467" s="14"/>
      <c r="I467" s="19">
        <f>8320*0.3</f>
        <v>2496</v>
      </c>
      <c r="J467" s="16" t="s">
        <v>1198</v>
      </c>
    </row>
    <row r="468" ht="102.75" spans="1:10">
      <c r="A468" s="10">
        <v>466</v>
      </c>
      <c r="B468" s="11" t="s">
        <v>211</v>
      </c>
      <c r="C468" s="45" t="s">
        <v>1473</v>
      </c>
      <c r="D468" s="22" t="s">
        <v>1474</v>
      </c>
      <c r="E468" s="55" t="s">
        <v>1475</v>
      </c>
      <c r="F468" s="53" t="s">
        <v>1459</v>
      </c>
      <c r="G468" s="27" t="s">
        <v>16</v>
      </c>
      <c r="H468" s="12" t="s">
        <v>1476</v>
      </c>
      <c r="I468" s="15">
        <v>12126</v>
      </c>
      <c r="J468" s="16" t="s">
        <v>1198</v>
      </c>
    </row>
    <row r="469" ht="30" spans="1:10">
      <c r="A469" s="10">
        <v>467</v>
      </c>
      <c r="B469" s="11" t="s">
        <v>211</v>
      </c>
      <c r="C469" s="45" t="s">
        <v>1477</v>
      </c>
      <c r="D469" s="22" t="s">
        <v>1478</v>
      </c>
      <c r="E469" s="54"/>
      <c r="F469" s="14"/>
      <c r="G469" s="27" t="s">
        <v>16</v>
      </c>
      <c r="H469" s="14"/>
      <c r="I469" s="19">
        <f>12126*0.3</f>
        <v>3637.8</v>
      </c>
      <c r="J469" s="16" t="s">
        <v>1198</v>
      </c>
    </row>
    <row r="470" ht="42.75" spans="1:10">
      <c r="A470" s="10">
        <v>468</v>
      </c>
      <c r="B470" s="11" t="s">
        <v>211</v>
      </c>
      <c r="C470" s="45" t="s">
        <v>1479</v>
      </c>
      <c r="D470" s="22" t="s">
        <v>1480</v>
      </c>
      <c r="E470" s="55" t="s">
        <v>1481</v>
      </c>
      <c r="F470" s="12" t="s">
        <v>1482</v>
      </c>
      <c r="G470" s="27" t="s">
        <v>16</v>
      </c>
      <c r="H470" s="12" t="s">
        <v>1483</v>
      </c>
      <c r="I470" s="15">
        <v>3458</v>
      </c>
      <c r="J470" s="16" t="s">
        <v>1198</v>
      </c>
    </row>
    <row r="471" ht="30" spans="1:10">
      <c r="A471" s="10">
        <v>469</v>
      </c>
      <c r="B471" s="11" t="s">
        <v>211</v>
      </c>
      <c r="C471" s="45" t="s">
        <v>1484</v>
      </c>
      <c r="D471" s="22" t="s">
        <v>1485</v>
      </c>
      <c r="E471" s="60"/>
      <c r="F471" s="20"/>
      <c r="G471" s="27" t="s">
        <v>16</v>
      </c>
      <c r="H471" s="14"/>
      <c r="I471" s="19">
        <f>3458*0.3</f>
        <v>1037.4</v>
      </c>
      <c r="J471" s="16" t="s">
        <v>1198</v>
      </c>
    </row>
    <row r="472" ht="42.75" spans="1:10">
      <c r="A472" s="10">
        <v>470</v>
      </c>
      <c r="B472" s="11" t="s">
        <v>211</v>
      </c>
      <c r="C472" s="45" t="s">
        <v>1486</v>
      </c>
      <c r="D472" s="22" t="s">
        <v>1487</v>
      </c>
      <c r="E472" s="58" t="s">
        <v>1488</v>
      </c>
      <c r="F472" s="22" t="s">
        <v>1489</v>
      </c>
      <c r="G472" s="27" t="s">
        <v>16</v>
      </c>
      <c r="H472" s="12" t="s">
        <v>1490</v>
      </c>
      <c r="I472" s="15">
        <v>2501</v>
      </c>
      <c r="J472" s="16" t="s">
        <v>1198</v>
      </c>
    </row>
    <row r="473" ht="15.75" spans="1:10">
      <c r="A473" s="10">
        <v>471</v>
      </c>
      <c r="B473" s="11" t="s">
        <v>211</v>
      </c>
      <c r="C473" s="45" t="s">
        <v>1491</v>
      </c>
      <c r="D473" s="22" t="s">
        <v>1492</v>
      </c>
      <c r="E473" s="60"/>
      <c r="F473" s="52"/>
      <c r="G473" s="27" t="s">
        <v>16</v>
      </c>
      <c r="H473" s="14"/>
      <c r="I473" s="19">
        <f>2501*0.3</f>
        <v>750.3</v>
      </c>
      <c r="J473" s="16" t="s">
        <v>1198</v>
      </c>
    </row>
    <row r="474" ht="42.75" spans="1:10">
      <c r="A474" s="10">
        <v>472</v>
      </c>
      <c r="B474" s="11" t="s">
        <v>211</v>
      </c>
      <c r="C474" s="45" t="s">
        <v>1493</v>
      </c>
      <c r="D474" s="22" t="s">
        <v>1494</v>
      </c>
      <c r="E474" s="58" t="s">
        <v>1495</v>
      </c>
      <c r="F474" s="53" t="s">
        <v>1496</v>
      </c>
      <c r="G474" s="27" t="s">
        <v>16</v>
      </c>
      <c r="H474" s="12" t="s">
        <v>1497</v>
      </c>
      <c r="I474" s="15">
        <v>4754</v>
      </c>
      <c r="J474" s="16" t="s">
        <v>1198</v>
      </c>
    </row>
    <row r="475" ht="15.75" spans="1:10">
      <c r="A475" s="10">
        <v>473</v>
      </c>
      <c r="B475" s="11" t="s">
        <v>211</v>
      </c>
      <c r="C475" s="45" t="s">
        <v>1498</v>
      </c>
      <c r="D475" s="22" t="s">
        <v>1499</v>
      </c>
      <c r="E475" s="54"/>
      <c r="F475" s="52"/>
      <c r="G475" s="27" t="s">
        <v>16</v>
      </c>
      <c r="H475" s="14"/>
      <c r="I475" s="19">
        <f>4754*0.3</f>
        <v>1426.2</v>
      </c>
      <c r="J475" s="16" t="s">
        <v>1198</v>
      </c>
    </row>
    <row r="476" ht="57" spans="1:10">
      <c r="A476" s="10">
        <v>474</v>
      </c>
      <c r="B476" s="11" t="s">
        <v>211</v>
      </c>
      <c r="C476" s="45" t="s">
        <v>1500</v>
      </c>
      <c r="D476" s="22" t="s">
        <v>1501</v>
      </c>
      <c r="E476" s="55" t="s">
        <v>1502</v>
      </c>
      <c r="F476" s="53" t="s">
        <v>1503</v>
      </c>
      <c r="G476" s="27" t="s">
        <v>16</v>
      </c>
      <c r="H476" s="14"/>
      <c r="I476" s="15">
        <v>7146</v>
      </c>
      <c r="J476" s="16" t="s">
        <v>1198</v>
      </c>
    </row>
    <row r="477" ht="15.75" spans="1:10">
      <c r="A477" s="10">
        <v>475</v>
      </c>
      <c r="B477" s="11" t="s">
        <v>211</v>
      </c>
      <c r="C477" s="45" t="s">
        <v>1504</v>
      </c>
      <c r="D477" s="22" t="s">
        <v>1505</v>
      </c>
      <c r="E477" s="54"/>
      <c r="F477" s="52"/>
      <c r="G477" s="27" t="s">
        <v>16</v>
      </c>
      <c r="H477" s="61"/>
      <c r="I477" s="19">
        <f>7146*0.3</f>
        <v>2143.8</v>
      </c>
      <c r="J477" s="16" t="s">
        <v>1198</v>
      </c>
    </row>
    <row r="478" ht="30" spans="1:10">
      <c r="A478" s="10">
        <v>476</v>
      </c>
      <c r="B478" s="11" t="s">
        <v>211</v>
      </c>
      <c r="C478" s="45" t="s">
        <v>1506</v>
      </c>
      <c r="D478" s="22" t="s">
        <v>1507</v>
      </c>
      <c r="E478" s="54"/>
      <c r="F478" s="52"/>
      <c r="G478" s="27" t="s">
        <v>16</v>
      </c>
      <c r="H478" s="61"/>
      <c r="I478" s="15">
        <v>7146</v>
      </c>
      <c r="J478" s="16" t="s">
        <v>1198</v>
      </c>
    </row>
    <row r="479" ht="42.75" spans="1:10">
      <c r="A479" s="10">
        <v>477</v>
      </c>
      <c r="B479" s="11" t="s">
        <v>211</v>
      </c>
      <c r="C479" s="45" t="s">
        <v>1508</v>
      </c>
      <c r="D479" s="22" t="s">
        <v>1509</v>
      </c>
      <c r="E479" s="55" t="s">
        <v>1510</v>
      </c>
      <c r="F479" s="53" t="s">
        <v>1511</v>
      </c>
      <c r="G479" s="13" t="s">
        <v>1512</v>
      </c>
      <c r="H479" s="61"/>
      <c r="I479" s="15">
        <v>4840</v>
      </c>
      <c r="J479" s="16" t="s">
        <v>1198</v>
      </c>
    </row>
    <row r="480" ht="15.75" spans="1:10">
      <c r="A480" s="10">
        <v>478</v>
      </c>
      <c r="B480" s="11" t="s">
        <v>211</v>
      </c>
      <c r="C480" s="45" t="s">
        <v>1513</v>
      </c>
      <c r="D480" s="22" t="s">
        <v>1514</v>
      </c>
      <c r="E480" s="54"/>
      <c r="F480" s="14"/>
      <c r="G480" s="13" t="s">
        <v>1512</v>
      </c>
      <c r="H480" s="14"/>
      <c r="I480" s="19">
        <f>4840*0.3</f>
        <v>1452</v>
      </c>
      <c r="J480" s="16" t="s">
        <v>1198</v>
      </c>
    </row>
    <row r="481" ht="30" spans="1:10">
      <c r="A481" s="10">
        <v>479</v>
      </c>
      <c r="B481" s="11" t="s">
        <v>211</v>
      </c>
      <c r="C481" s="45" t="s">
        <v>1515</v>
      </c>
      <c r="D481" s="22" t="s">
        <v>1516</v>
      </c>
      <c r="E481" s="54"/>
      <c r="F481" s="14"/>
      <c r="G481" s="13" t="s">
        <v>1512</v>
      </c>
      <c r="H481" s="14"/>
      <c r="I481" s="15">
        <v>4840</v>
      </c>
      <c r="J481" s="16" t="s">
        <v>1198</v>
      </c>
    </row>
    <row r="482" ht="30" spans="1:10">
      <c r="A482" s="10">
        <v>480</v>
      </c>
      <c r="B482" s="11" t="s">
        <v>211</v>
      </c>
      <c r="C482" s="45" t="s">
        <v>1517</v>
      </c>
      <c r="D482" s="22" t="s">
        <v>1518</v>
      </c>
      <c r="E482" s="54"/>
      <c r="F482" s="14"/>
      <c r="G482" s="13" t="s">
        <v>1512</v>
      </c>
      <c r="H482" s="14"/>
      <c r="I482" s="15">
        <v>4840</v>
      </c>
      <c r="J482" s="16" t="s">
        <v>1198</v>
      </c>
    </row>
    <row r="483" ht="57" spans="1:10">
      <c r="A483" s="10">
        <v>481</v>
      </c>
      <c r="B483" s="11" t="s">
        <v>211</v>
      </c>
      <c r="C483" s="45" t="s">
        <v>1519</v>
      </c>
      <c r="D483" s="22" t="s">
        <v>1520</v>
      </c>
      <c r="E483" s="55" t="s">
        <v>1521</v>
      </c>
      <c r="F483" s="12" t="s">
        <v>1522</v>
      </c>
      <c r="G483" s="27" t="s">
        <v>16</v>
      </c>
      <c r="H483" s="14"/>
      <c r="I483" s="15">
        <v>4298</v>
      </c>
      <c r="J483" s="16" t="s">
        <v>1198</v>
      </c>
    </row>
    <row r="484" ht="30" spans="1:10">
      <c r="A484" s="10">
        <v>482</v>
      </c>
      <c r="B484" s="11" t="s">
        <v>211</v>
      </c>
      <c r="C484" s="45" t="s">
        <v>1523</v>
      </c>
      <c r="D484" s="22" t="s">
        <v>1524</v>
      </c>
      <c r="E484" s="60"/>
      <c r="F484" s="20"/>
      <c r="G484" s="27" t="s">
        <v>16</v>
      </c>
      <c r="H484" s="14"/>
      <c r="I484" s="19">
        <f>4298*0.3</f>
        <v>1289.4</v>
      </c>
      <c r="J484" s="16" t="s">
        <v>1198</v>
      </c>
    </row>
    <row r="485" ht="63" spans="1:10">
      <c r="A485" s="10">
        <v>483</v>
      </c>
      <c r="B485" s="11" t="s">
        <v>211</v>
      </c>
      <c r="C485" s="45" t="s">
        <v>1525</v>
      </c>
      <c r="D485" s="22" t="s">
        <v>1526</v>
      </c>
      <c r="E485" s="58" t="s">
        <v>1527</v>
      </c>
      <c r="F485" s="22" t="s">
        <v>1528</v>
      </c>
      <c r="G485" s="27" t="s">
        <v>16</v>
      </c>
      <c r="H485" s="14" t="s">
        <v>1529</v>
      </c>
      <c r="I485" s="15">
        <v>5970</v>
      </c>
      <c r="J485" s="16" t="s">
        <v>1198</v>
      </c>
    </row>
    <row r="486" ht="30" spans="1:10">
      <c r="A486" s="10">
        <v>484</v>
      </c>
      <c r="B486" s="11" t="s">
        <v>211</v>
      </c>
      <c r="C486" s="45" t="s">
        <v>1530</v>
      </c>
      <c r="D486" s="22" t="s">
        <v>1531</v>
      </c>
      <c r="E486" s="60"/>
      <c r="F486" s="20"/>
      <c r="G486" s="27" t="s">
        <v>16</v>
      </c>
      <c r="H486" s="14"/>
      <c r="I486" s="19">
        <f>5970*0.3</f>
        <v>1791</v>
      </c>
      <c r="J486" s="16" t="s">
        <v>1198</v>
      </c>
    </row>
    <row r="487" ht="30" spans="1:10">
      <c r="A487" s="10">
        <v>485</v>
      </c>
      <c r="B487" s="11" t="s">
        <v>211</v>
      </c>
      <c r="C487" s="45" t="s">
        <v>1532</v>
      </c>
      <c r="D487" s="22" t="s">
        <v>1533</v>
      </c>
      <c r="E487" s="60"/>
      <c r="F487" s="20"/>
      <c r="G487" s="27" t="s">
        <v>16</v>
      </c>
      <c r="H487" s="59" t="s">
        <v>1534</v>
      </c>
      <c r="I487" s="15">
        <v>597</v>
      </c>
      <c r="J487" s="16" t="s">
        <v>1198</v>
      </c>
    </row>
    <row r="488" ht="30" spans="1:10">
      <c r="A488" s="10">
        <v>486</v>
      </c>
      <c r="B488" s="11" t="s">
        <v>211</v>
      </c>
      <c r="C488" s="45" t="s">
        <v>1535</v>
      </c>
      <c r="D488" s="22" t="s">
        <v>1536</v>
      </c>
      <c r="E488" s="60"/>
      <c r="F488" s="20"/>
      <c r="G488" s="27" t="s">
        <v>16</v>
      </c>
      <c r="H488" s="14"/>
      <c r="I488" s="15">
        <v>1791</v>
      </c>
      <c r="J488" s="16" t="s">
        <v>1198</v>
      </c>
    </row>
    <row r="489" ht="42.75" spans="1:10">
      <c r="A489" s="10">
        <v>487</v>
      </c>
      <c r="B489" s="11" t="s">
        <v>211</v>
      </c>
      <c r="C489" s="45" t="s">
        <v>1537</v>
      </c>
      <c r="D489" s="22" t="s">
        <v>1538</v>
      </c>
      <c r="E489" s="58" t="s">
        <v>1539</v>
      </c>
      <c r="F489" s="22" t="s">
        <v>1540</v>
      </c>
      <c r="G489" s="13" t="s">
        <v>16</v>
      </c>
      <c r="H489" s="12" t="s">
        <v>1541</v>
      </c>
      <c r="I489" s="15">
        <v>5965</v>
      </c>
      <c r="J489" s="16" t="s">
        <v>1198</v>
      </c>
    </row>
    <row r="490" ht="30" spans="1:10">
      <c r="A490" s="10">
        <v>488</v>
      </c>
      <c r="B490" s="11" t="s">
        <v>211</v>
      </c>
      <c r="C490" s="45" t="s">
        <v>1542</v>
      </c>
      <c r="D490" s="22" t="s">
        <v>1543</v>
      </c>
      <c r="E490" s="60"/>
      <c r="F490" s="20"/>
      <c r="G490" s="13" t="s">
        <v>16</v>
      </c>
      <c r="H490" s="14"/>
      <c r="I490" s="19">
        <f>5965*0.3</f>
        <v>1789.5</v>
      </c>
      <c r="J490" s="16" t="s">
        <v>1198</v>
      </c>
    </row>
    <row r="491" ht="30" spans="1:10">
      <c r="A491" s="10">
        <v>489</v>
      </c>
      <c r="B491" s="11" t="s">
        <v>211</v>
      </c>
      <c r="C491" s="45" t="s">
        <v>1544</v>
      </c>
      <c r="D491" s="22" t="s">
        <v>1545</v>
      </c>
      <c r="E491" s="60"/>
      <c r="F491" s="20"/>
      <c r="G491" s="13" t="s">
        <v>16</v>
      </c>
      <c r="H491" s="14"/>
      <c r="I491" s="15">
        <v>2982</v>
      </c>
      <c r="J491" s="16" t="s">
        <v>1198</v>
      </c>
    </row>
    <row r="492" ht="42.75" spans="1:10">
      <c r="A492" s="10">
        <v>490</v>
      </c>
      <c r="B492" s="11" t="s">
        <v>211</v>
      </c>
      <c r="C492" s="45" t="s">
        <v>1546</v>
      </c>
      <c r="D492" s="22" t="s">
        <v>1547</v>
      </c>
      <c r="E492" s="58" t="s">
        <v>1548</v>
      </c>
      <c r="F492" s="22" t="s">
        <v>1549</v>
      </c>
      <c r="G492" s="13" t="s">
        <v>16</v>
      </c>
      <c r="H492" s="14"/>
      <c r="I492" s="15">
        <v>6055</v>
      </c>
      <c r="J492" s="16" t="s">
        <v>1198</v>
      </c>
    </row>
    <row r="493" ht="30" spans="1:10">
      <c r="A493" s="10">
        <v>491</v>
      </c>
      <c r="B493" s="11" t="s">
        <v>211</v>
      </c>
      <c r="C493" s="45" t="s">
        <v>1550</v>
      </c>
      <c r="D493" s="22" t="s">
        <v>1551</v>
      </c>
      <c r="E493" s="60"/>
      <c r="F493" s="20"/>
      <c r="G493" s="13" t="s">
        <v>16</v>
      </c>
      <c r="H493" s="14"/>
      <c r="I493" s="19">
        <f>6055*0.3</f>
        <v>1816.5</v>
      </c>
      <c r="J493" s="16" t="s">
        <v>1198</v>
      </c>
    </row>
    <row r="494" ht="42.75" spans="1:10">
      <c r="A494" s="10">
        <v>492</v>
      </c>
      <c r="B494" s="11" t="s">
        <v>11</v>
      </c>
      <c r="C494" s="45" t="s">
        <v>1552</v>
      </c>
      <c r="D494" s="22" t="s">
        <v>1553</v>
      </c>
      <c r="E494" s="58" t="s">
        <v>1554</v>
      </c>
      <c r="F494" s="22" t="s">
        <v>1555</v>
      </c>
      <c r="G494" s="27" t="s">
        <v>16</v>
      </c>
      <c r="H494" s="14"/>
      <c r="I494" s="15">
        <v>150</v>
      </c>
      <c r="J494" s="16" t="s">
        <v>1198</v>
      </c>
    </row>
    <row r="495" ht="45.75" spans="1:10">
      <c r="A495" s="10">
        <v>493</v>
      </c>
      <c r="B495" s="11" t="s">
        <v>211</v>
      </c>
      <c r="C495" s="45" t="s">
        <v>1556</v>
      </c>
      <c r="D495" s="12" t="s">
        <v>1557</v>
      </c>
      <c r="E495" s="46" t="s">
        <v>1558</v>
      </c>
      <c r="F495" s="12" t="s">
        <v>1559</v>
      </c>
      <c r="G495" s="13" t="s">
        <v>16</v>
      </c>
      <c r="H495" s="12" t="s">
        <v>1560</v>
      </c>
      <c r="I495" s="15">
        <v>4367</v>
      </c>
      <c r="J495" s="16" t="s">
        <v>1198</v>
      </c>
    </row>
    <row r="496" ht="30" spans="1:10">
      <c r="A496" s="10">
        <v>494</v>
      </c>
      <c r="B496" s="11" t="s">
        <v>211</v>
      </c>
      <c r="C496" s="45" t="s">
        <v>1561</v>
      </c>
      <c r="D496" s="22" t="s">
        <v>1562</v>
      </c>
      <c r="E496" s="60"/>
      <c r="F496" s="20"/>
      <c r="G496" s="13" t="s">
        <v>16</v>
      </c>
      <c r="H496" s="14"/>
      <c r="I496" s="19">
        <f>4367*0.3</f>
        <v>1310.1</v>
      </c>
      <c r="J496" s="16" t="s">
        <v>1198</v>
      </c>
    </row>
    <row r="497" ht="30" spans="1:10">
      <c r="A497" s="10">
        <v>495</v>
      </c>
      <c r="B497" s="11" t="s">
        <v>211</v>
      </c>
      <c r="C497" s="45" t="s">
        <v>1563</v>
      </c>
      <c r="D497" s="22" t="s">
        <v>1564</v>
      </c>
      <c r="E497" s="60"/>
      <c r="F497" s="20"/>
      <c r="G497" s="13" t="s">
        <v>16</v>
      </c>
      <c r="H497" s="14"/>
      <c r="I497" s="15">
        <v>4367</v>
      </c>
      <c r="J497" s="16" t="s">
        <v>1198</v>
      </c>
    </row>
    <row r="498" ht="42.75" spans="1:10">
      <c r="A498" s="10">
        <v>496</v>
      </c>
      <c r="B498" s="11" t="s">
        <v>211</v>
      </c>
      <c r="C498" s="45" t="s">
        <v>1565</v>
      </c>
      <c r="D498" s="22" t="s">
        <v>1566</v>
      </c>
      <c r="E498" s="58" t="s">
        <v>1567</v>
      </c>
      <c r="F498" s="22" t="s">
        <v>1373</v>
      </c>
      <c r="G498" s="13" t="s">
        <v>16</v>
      </c>
      <c r="H498" s="14"/>
      <c r="I498" s="15">
        <v>1372</v>
      </c>
      <c r="J498" s="16" t="s">
        <v>1198</v>
      </c>
    </row>
    <row r="499" ht="30" spans="1:10">
      <c r="A499" s="10">
        <v>497</v>
      </c>
      <c r="B499" s="11" t="s">
        <v>211</v>
      </c>
      <c r="C499" s="45" t="s">
        <v>1568</v>
      </c>
      <c r="D499" s="22" t="s">
        <v>1569</v>
      </c>
      <c r="E499" s="60"/>
      <c r="F499" s="20"/>
      <c r="G499" s="13" t="s">
        <v>16</v>
      </c>
      <c r="H499" s="14"/>
      <c r="I499" s="19">
        <f>1372*0.3</f>
        <v>411.6</v>
      </c>
      <c r="J499" s="16" t="s">
        <v>1198</v>
      </c>
    </row>
    <row r="500" ht="45.75" spans="1:10">
      <c r="A500" s="10">
        <v>498</v>
      </c>
      <c r="B500" s="11" t="s">
        <v>211</v>
      </c>
      <c r="C500" s="45" t="s">
        <v>1570</v>
      </c>
      <c r="D500" s="22" t="s">
        <v>1571</v>
      </c>
      <c r="E500" s="58" t="s">
        <v>1572</v>
      </c>
      <c r="F500" s="22" t="s">
        <v>1573</v>
      </c>
      <c r="G500" s="13" t="s">
        <v>16</v>
      </c>
      <c r="H500" s="12" t="s">
        <v>1574</v>
      </c>
      <c r="I500" s="15">
        <v>2597</v>
      </c>
      <c r="J500" s="16" t="s">
        <v>1198</v>
      </c>
    </row>
    <row r="501" ht="30" spans="1:10">
      <c r="A501" s="10">
        <v>499</v>
      </c>
      <c r="B501" s="11" t="s">
        <v>211</v>
      </c>
      <c r="C501" s="45" t="s">
        <v>1575</v>
      </c>
      <c r="D501" s="22" t="s">
        <v>1576</v>
      </c>
      <c r="E501" s="54"/>
      <c r="F501" s="20"/>
      <c r="G501" s="13" t="s">
        <v>16</v>
      </c>
      <c r="H501" s="14"/>
      <c r="I501" s="19">
        <f>2597*0.3</f>
        <v>779.1</v>
      </c>
      <c r="J501" s="16" t="s">
        <v>1198</v>
      </c>
    </row>
    <row r="502" ht="42.75" spans="1:10">
      <c r="A502" s="10">
        <v>500</v>
      </c>
      <c r="B502" s="11" t="s">
        <v>211</v>
      </c>
      <c r="C502" s="45" t="s">
        <v>1577</v>
      </c>
      <c r="D502" s="22" t="s">
        <v>1578</v>
      </c>
      <c r="E502" s="55" t="s">
        <v>1579</v>
      </c>
      <c r="F502" s="22" t="s">
        <v>1373</v>
      </c>
      <c r="G502" s="27" t="s">
        <v>16</v>
      </c>
      <c r="H502" s="14"/>
      <c r="I502" s="15">
        <v>950</v>
      </c>
      <c r="J502" s="16" t="s">
        <v>1198</v>
      </c>
    </row>
    <row r="503" ht="30" spans="1:10">
      <c r="A503" s="10">
        <v>501</v>
      </c>
      <c r="B503" s="11" t="s">
        <v>211</v>
      </c>
      <c r="C503" s="45" t="s">
        <v>1580</v>
      </c>
      <c r="D503" s="22" t="s">
        <v>1581</v>
      </c>
      <c r="E503" s="62"/>
      <c r="F503" s="14"/>
      <c r="G503" s="27" t="s">
        <v>16</v>
      </c>
      <c r="H503" s="14"/>
      <c r="I503" s="19">
        <f>950*0.3</f>
        <v>285</v>
      </c>
      <c r="J503" s="16" t="s">
        <v>1198</v>
      </c>
    </row>
    <row r="504" ht="42.75" spans="1:10">
      <c r="A504" s="10">
        <v>502</v>
      </c>
      <c r="B504" s="11" t="s">
        <v>11</v>
      </c>
      <c r="C504" s="45" t="s">
        <v>1582</v>
      </c>
      <c r="D504" s="22" t="s">
        <v>1583</v>
      </c>
      <c r="E504" s="63" t="s">
        <v>1584</v>
      </c>
      <c r="F504" s="12" t="s">
        <v>1585</v>
      </c>
      <c r="G504" s="27" t="s">
        <v>16</v>
      </c>
      <c r="H504" s="14"/>
      <c r="I504" s="15">
        <v>448</v>
      </c>
      <c r="J504" s="16" t="s">
        <v>1198</v>
      </c>
    </row>
    <row r="505" ht="42.75" spans="1:10">
      <c r="A505" s="10">
        <v>503</v>
      </c>
      <c r="B505" s="11" t="s">
        <v>211</v>
      </c>
      <c r="C505" s="45" t="s">
        <v>1586</v>
      </c>
      <c r="D505" s="22" t="s">
        <v>1587</v>
      </c>
      <c r="E505" s="63" t="s">
        <v>1588</v>
      </c>
      <c r="F505" s="53" t="s">
        <v>1589</v>
      </c>
      <c r="G505" s="27" t="s">
        <v>16</v>
      </c>
      <c r="H505" s="61"/>
      <c r="I505" s="15">
        <v>2985</v>
      </c>
      <c r="J505" s="16" t="s">
        <v>1198</v>
      </c>
    </row>
    <row r="506" ht="30" spans="1:10">
      <c r="A506" s="10">
        <v>504</v>
      </c>
      <c r="B506" s="11" t="s">
        <v>211</v>
      </c>
      <c r="C506" s="45" t="s">
        <v>1590</v>
      </c>
      <c r="D506" s="22" t="s">
        <v>1591</v>
      </c>
      <c r="E506" s="62"/>
      <c r="F506" s="52"/>
      <c r="G506" s="27" t="s">
        <v>16</v>
      </c>
      <c r="H506" s="61"/>
      <c r="I506" s="19">
        <f>2985*0.3</f>
        <v>895.5</v>
      </c>
      <c r="J506" s="16" t="s">
        <v>1198</v>
      </c>
    </row>
    <row r="507" ht="42.75" spans="1:10">
      <c r="A507" s="10">
        <v>505</v>
      </c>
      <c r="B507" s="11" t="s">
        <v>211</v>
      </c>
      <c r="C507" s="45" t="s">
        <v>1592</v>
      </c>
      <c r="D507" s="22" t="s">
        <v>1593</v>
      </c>
      <c r="E507" s="63" t="s">
        <v>1594</v>
      </c>
      <c r="F507" s="53" t="s">
        <v>1595</v>
      </c>
      <c r="G507" s="27" t="s">
        <v>16</v>
      </c>
      <c r="H507" s="61"/>
      <c r="I507" s="15">
        <v>4776</v>
      </c>
      <c r="J507" s="16" t="s">
        <v>1198</v>
      </c>
    </row>
    <row r="508" ht="30" spans="1:10">
      <c r="A508" s="10">
        <v>506</v>
      </c>
      <c r="B508" s="11" t="s">
        <v>211</v>
      </c>
      <c r="C508" s="45" t="s">
        <v>1596</v>
      </c>
      <c r="D508" s="22" t="s">
        <v>1597</v>
      </c>
      <c r="E508" s="48"/>
      <c r="F508" s="14"/>
      <c r="G508" s="27" t="s">
        <v>16</v>
      </c>
      <c r="H508" s="64"/>
      <c r="I508" s="19">
        <f>4776*0.3</f>
        <v>1432.8</v>
      </c>
      <c r="J508" s="16" t="s">
        <v>1198</v>
      </c>
    </row>
    <row r="509" ht="42.75" spans="1:10">
      <c r="A509" s="10">
        <v>507</v>
      </c>
      <c r="B509" s="11" t="s">
        <v>211</v>
      </c>
      <c r="C509" s="45" t="s">
        <v>1598</v>
      </c>
      <c r="D509" s="22" t="s">
        <v>1599</v>
      </c>
      <c r="E509" s="46" t="s">
        <v>1600</v>
      </c>
      <c r="F509" s="12" t="s">
        <v>1601</v>
      </c>
      <c r="G509" s="27" t="s">
        <v>16</v>
      </c>
      <c r="H509" s="64"/>
      <c r="I509" s="15">
        <v>6308</v>
      </c>
      <c r="J509" s="16" t="s">
        <v>1198</v>
      </c>
    </row>
    <row r="510" ht="30" spans="1:10">
      <c r="A510" s="10">
        <v>508</v>
      </c>
      <c r="B510" s="11" t="s">
        <v>211</v>
      </c>
      <c r="C510" s="45" t="s">
        <v>1602</v>
      </c>
      <c r="D510" s="22" t="s">
        <v>1603</v>
      </c>
      <c r="E510" s="48"/>
      <c r="F510" s="14"/>
      <c r="G510" s="27" t="s">
        <v>16</v>
      </c>
      <c r="H510" s="64"/>
      <c r="I510" s="65">
        <f>6308*0.3</f>
        <v>1892.4</v>
      </c>
      <c r="J510" s="16" t="s">
        <v>1198</v>
      </c>
    </row>
    <row r="511" ht="72.75" spans="1:10">
      <c r="A511" s="10">
        <v>509</v>
      </c>
      <c r="B511" s="11" t="s">
        <v>211</v>
      </c>
      <c r="C511" s="45" t="s">
        <v>1604</v>
      </c>
      <c r="D511" s="22" t="s">
        <v>1605</v>
      </c>
      <c r="E511" s="46" t="s">
        <v>1606</v>
      </c>
      <c r="F511" s="12" t="s">
        <v>1601</v>
      </c>
      <c r="G511" s="27" t="s">
        <v>16</v>
      </c>
      <c r="H511" s="66" t="s">
        <v>1607</v>
      </c>
      <c r="I511" s="67">
        <v>7480</v>
      </c>
      <c r="J511" s="16" t="s">
        <v>1198</v>
      </c>
    </row>
    <row r="512" ht="30" spans="1:10">
      <c r="A512" s="10">
        <v>510</v>
      </c>
      <c r="B512" s="11" t="s">
        <v>211</v>
      </c>
      <c r="C512" s="45" t="s">
        <v>1608</v>
      </c>
      <c r="D512" s="22" t="s">
        <v>1609</v>
      </c>
      <c r="E512" s="48"/>
      <c r="F512" s="14"/>
      <c r="G512" s="27" t="s">
        <v>16</v>
      </c>
      <c r="H512" s="64"/>
      <c r="I512" s="19">
        <f>7480*0.3</f>
        <v>2244</v>
      </c>
      <c r="J512" s="16" t="s">
        <v>1198</v>
      </c>
    </row>
    <row r="513" ht="42.75" spans="1:10">
      <c r="A513" s="10">
        <v>511</v>
      </c>
      <c r="B513" s="11" t="s">
        <v>211</v>
      </c>
      <c r="C513" s="45" t="s">
        <v>1610</v>
      </c>
      <c r="D513" s="22" t="s">
        <v>1611</v>
      </c>
      <c r="E513" s="46" t="s">
        <v>1612</v>
      </c>
      <c r="F513" s="12" t="s">
        <v>1601</v>
      </c>
      <c r="G513" s="27" t="s">
        <v>16</v>
      </c>
      <c r="H513" s="64"/>
      <c r="I513" s="15">
        <v>5164</v>
      </c>
      <c r="J513" s="16" t="s">
        <v>1198</v>
      </c>
    </row>
    <row r="514" ht="30" spans="1:10">
      <c r="A514" s="10">
        <v>512</v>
      </c>
      <c r="B514" s="11" t="s">
        <v>211</v>
      </c>
      <c r="C514" s="45" t="s">
        <v>1613</v>
      </c>
      <c r="D514" s="22" t="s">
        <v>1614</v>
      </c>
      <c r="E514" s="48"/>
      <c r="F514" s="14"/>
      <c r="G514" s="27" t="s">
        <v>16</v>
      </c>
      <c r="H514" s="64"/>
      <c r="I514" s="65">
        <f>5164*0.3</f>
        <v>1549.2</v>
      </c>
      <c r="J514" s="16" t="s">
        <v>1198</v>
      </c>
    </row>
    <row r="515" ht="72.75" spans="1:10">
      <c r="A515" s="10">
        <v>513</v>
      </c>
      <c r="B515" s="11" t="s">
        <v>211</v>
      </c>
      <c r="C515" s="45" t="s">
        <v>1615</v>
      </c>
      <c r="D515" s="22" t="s">
        <v>1616</v>
      </c>
      <c r="E515" s="46" t="s">
        <v>1617</v>
      </c>
      <c r="F515" s="12" t="s">
        <v>1601</v>
      </c>
      <c r="G515" s="27" t="s">
        <v>16</v>
      </c>
      <c r="H515" s="66" t="s">
        <v>1618</v>
      </c>
      <c r="I515" s="67">
        <v>7480</v>
      </c>
      <c r="J515" s="16" t="s">
        <v>1198</v>
      </c>
    </row>
    <row r="516" ht="30" spans="1:10">
      <c r="A516" s="10">
        <v>514</v>
      </c>
      <c r="B516" s="11" t="s">
        <v>211</v>
      </c>
      <c r="C516" s="45" t="s">
        <v>1619</v>
      </c>
      <c r="D516" s="22" t="s">
        <v>1620</v>
      </c>
      <c r="E516" s="60"/>
      <c r="F516" s="20"/>
      <c r="G516" s="27" t="s">
        <v>16</v>
      </c>
      <c r="H516" s="64"/>
      <c r="I516" s="19">
        <f>7480*0.3</f>
        <v>2244</v>
      </c>
      <c r="J516" s="16" t="s">
        <v>1198</v>
      </c>
    </row>
    <row r="517" ht="58.5" spans="1:10">
      <c r="A517" s="10">
        <v>515</v>
      </c>
      <c r="B517" s="11" t="s">
        <v>211</v>
      </c>
      <c r="C517" s="45" t="s">
        <v>1621</v>
      </c>
      <c r="D517" s="22" t="s">
        <v>1622</v>
      </c>
      <c r="E517" s="58" t="s">
        <v>1623</v>
      </c>
      <c r="F517" s="22" t="s">
        <v>1624</v>
      </c>
      <c r="G517" s="13" t="s">
        <v>16</v>
      </c>
      <c r="H517" s="14"/>
      <c r="I517" s="15">
        <v>4410</v>
      </c>
      <c r="J517" s="16" t="s">
        <v>1198</v>
      </c>
    </row>
    <row r="518" ht="30" spans="1:10">
      <c r="A518" s="10">
        <v>516</v>
      </c>
      <c r="B518" s="11" t="s">
        <v>211</v>
      </c>
      <c r="C518" s="45" t="s">
        <v>1625</v>
      </c>
      <c r="D518" s="22" t="s">
        <v>1626</v>
      </c>
      <c r="E518" s="60"/>
      <c r="F518" s="20"/>
      <c r="G518" s="13" t="s">
        <v>16</v>
      </c>
      <c r="H518" s="14"/>
      <c r="I518" s="19">
        <f>4410*0.3</f>
        <v>1323</v>
      </c>
      <c r="J518" s="16" t="s">
        <v>1198</v>
      </c>
    </row>
    <row r="519" ht="58.5" spans="1:10">
      <c r="A519" s="10">
        <v>517</v>
      </c>
      <c r="B519" s="11" t="s">
        <v>211</v>
      </c>
      <c r="C519" s="45" t="s">
        <v>1627</v>
      </c>
      <c r="D519" s="22" t="s">
        <v>1628</v>
      </c>
      <c r="E519" s="58" t="s">
        <v>1629</v>
      </c>
      <c r="F519" s="22" t="s">
        <v>1630</v>
      </c>
      <c r="G519" s="13" t="s">
        <v>16</v>
      </c>
      <c r="H519" s="14"/>
      <c r="I519" s="15">
        <v>4410</v>
      </c>
      <c r="J519" s="16" t="s">
        <v>1198</v>
      </c>
    </row>
    <row r="520" ht="30" spans="1:10">
      <c r="A520" s="10">
        <v>518</v>
      </c>
      <c r="B520" s="11" t="s">
        <v>211</v>
      </c>
      <c r="C520" s="45" t="s">
        <v>1631</v>
      </c>
      <c r="D520" s="22" t="s">
        <v>1632</v>
      </c>
      <c r="E520" s="60"/>
      <c r="F520" s="20"/>
      <c r="G520" s="13" t="s">
        <v>16</v>
      </c>
      <c r="H520" s="14"/>
      <c r="I520" s="19">
        <f>4410*0.3</f>
        <v>1323</v>
      </c>
      <c r="J520" s="16" t="s">
        <v>1198</v>
      </c>
    </row>
    <row r="521" ht="42.75" spans="1:10">
      <c r="A521" s="10">
        <v>519</v>
      </c>
      <c r="B521" s="11" t="s">
        <v>211</v>
      </c>
      <c r="C521" s="45" t="s">
        <v>1633</v>
      </c>
      <c r="D521" s="22" t="s">
        <v>1634</v>
      </c>
      <c r="E521" s="58" t="s">
        <v>1635</v>
      </c>
      <c r="F521" s="22" t="s">
        <v>1636</v>
      </c>
      <c r="G521" s="13" t="s">
        <v>16</v>
      </c>
      <c r="H521" s="14"/>
      <c r="I521" s="15">
        <v>5458</v>
      </c>
      <c r="J521" s="16" t="s">
        <v>1198</v>
      </c>
    </row>
    <row r="522" ht="30" spans="1:10">
      <c r="A522" s="10">
        <v>520</v>
      </c>
      <c r="B522" s="11" t="s">
        <v>211</v>
      </c>
      <c r="C522" s="45" t="s">
        <v>1637</v>
      </c>
      <c r="D522" s="22" t="s">
        <v>1638</v>
      </c>
      <c r="E522" s="60"/>
      <c r="F522" s="20"/>
      <c r="G522" s="13" t="s">
        <v>16</v>
      </c>
      <c r="H522" s="14"/>
      <c r="I522" s="19">
        <f>5458*0.3</f>
        <v>1637.4</v>
      </c>
      <c r="J522" s="16" t="s">
        <v>1198</v>
      </c>
    </row>
    <row r="523" ht="42.75" spans="1:10">
      <c r="A523" s="10">
        <v>521</v>
      </c>
      <c r="B523" s="11" t="s">
        <v>211</v>
      </c>
      <c r="C523" s="45" t="s">
        <v>1639</v>
      </c>
      <c r="D523" s="22" t="s">
        <v>1640</v>
      </c>
      <c r="E523" s="58" t="s">
        <v>1641</v>
      </c>
      <c r="F523" s="22" t="s">
        <v>1642</v>
      </c>
      <c r="G523" s="13" t="s">
        <v>16</v>
      </c>
      <c r="H523" s="14"/>
      <c r="I523" s="15">
        <v>1884</v>
      </c>
      <c r="J523" s="16" t="s">
        <v>1198</v>
      </c>
    </row>
    <row r="524" ht="30" spans="1:10">
      <c r="A524" s="10">
        <v>522</v>
      </c>
      <c r="B524" s="11" t="s">
        <v>211</v>
      </c>
      <c r="C524" s="45" t="s">
        <v>1643</v>
      </c>
      <c r="D524" s="22" t="s">
        <v>1644</v>
      </c>
      <c r="E524" s="48"/>
      <c r="F524" s="14"/>
      <c r="G524" s="13" t="s">
        <v>16</v>
      </c>
      <c r="H524" s="14"/>
      <c r="I524" s="19">
        <f>1884*0.3</f>
        <v>565.2</v>
      </c>
      <c r="J524" s="16" t="s">
        <v>1198</v>
      </c>
    </row>
    <row r="525" ht="42.75" spans="1:10">
      <c r="A525" s="10">
        <v>523</v>
      </c>
      <c r="B525" s="11" t="s">
        <v>11</v>
      </c>
      <c r="C525" s="45" t="s">
        <v>1645</v>
      </c>
      <c r="D525" s="22" t="s">
        <v>1646</v>
      </c>
      <c r="E525" s="46" t="s">
        <v>1647</v>
      </c>
      <c r="F525" s="12" t="s">
        <v>1648</v>
      </c>
      <c r="G525" s="13" t="s">
        <v>16</v>
      </c>
      <c r="H525" s="14"/>
      <c r="I525" s="15">
        <v>396</v>
      </c>
      <c r="J525" s="16" t="s">
        <v>1198</v>
      </c>
    </row>
    <row r="526" ht="30" spans="1:10">
      <c r="A526" s="10">
        <v>524</v>
      </c>
      <c r="B526" s="11" t="s">
        <v>11</v>
      </c>
      <c r="C526" s="45" t="s">
        <v>1649</v>
      </c>
      <c r="D526" s="22" t="s">
        <v>1650</v>
      </c>
      <c r="E526" s="62"/>
      <c r="F526" s="20"/>
      <c r="G526" s="13" t="s">
        <v>16</v>
      </c>
      <c r="H526" s="14"/>
      <c r="I526" s="15">
        <v>396</v>
      </c>
      <c r="J526" s="16" t="s">
        <v>1198</v>
      </c>
    </row>
    <row r="527" ht="91.5" spans="1:10">
      <c r="A527" s="10">
        <v>525</v>
      </c>
      <c r="B527" s="11" t="s">
        <v>211</v>
      </c>
      <c r="C527" s="45" t="s">
        <v>1651</v>
      </c>
      <c r="D527" s="22" t="s">
        <v>1652</v>
      </c>
      <c r="E527" s="63" t="s">
        <v>1653</v>
      </c>
      <c r="F527" s="22" t="s">
        <v>1654</v>
      </c>
      <c r="G527" s="13" t="s">
        <v>16</v>
      </c>
      <c r="H527" s="14" t="s">
        <v>1655</v>
      </c>
      <c r="I527" s="15">
        <v>3879</v>
      </c>
      <c r="J527" s="16" t="s">
        <v>1198</v>
      </c>
    </row>
    <row r="528" ht="30" spans="1:10">
      <c r="A528" s="10">
        <v>526</v>
      </c>
      <c r="B528" s="11" t="s">
        <v>211</v>
      </c>
      <c r="C528" s="45" t="s">
        <v>1656</v>
      </c>
      <c r="D528" s="22" t="s">
        <v>1657</v>
      </c>
      <c r="E528" s="62"/>
      <c r="F528" s="52"/>
      <c r="G528" s="13" t="s">
        <v>16</v>
      </c>
      <c r="H528" s="14"/>
      <c r="I528" s="19">
        <f>3879*0.3</f>
        <v>1163.7</v>
      </c>
      <c r="J528" s="16" t="s">
        <v>1198</v>
      </c>
    </row>
    <row r="529" ht="77.25" spans="1:10">
      <c r="A529" s="10">
        <v>527</v>
      </c>
      <c r="B529" s="11" t="s">
        <v>211</v>
      </c>
      <c r="C529" s="45" t="s">
        <v>1658</v>
      </c>
      <c r="D529" s="22" t="s">
        <v>1659</v>
      </c>
      <c r="E529" s="63" t="s">
        <v>1660</v>
      </c>
      <c r="F529" s="53" t="s">
        <v>1661</v>
      </c>
      <c r="G529" s="13" t="s">
        <v>16</v>
      </c>
      <c r="H529" s="14" t="s">
        <v>1662</v>
      </c>
      <c r="I529" s="15">
        <v>4776</v>
      </c>
      <c r="J529" s="16" t="s">
        <v>1198</v>
      </c>
    </row>
    <row r="530" ht="30" spans="1:10">
      <c r="A530" s="10">
        <v>528</v>
      </c>
      <c r="B530" s="11" t="s">
        <v>211</v>
      </c>
      <c r="C530" s="45" t="s">
        <v>1663</v>
      </c>
      <c r="D530" s="22" t="s">
        <v>1664</v>
      </c>
      <c r="E530" s="62"/>
      <c r="F530" s="20"/>
      <c r="G530" s="13" t="s">
        <v>16</v>
      </c>
      <c r="H530" s="14"/>
      <c r="I530" s="19">
        <f>4776*0.3</f>
        <v>1432.8</v>
      </c>
      <c r="J530" s="16" t="s">
        <v>1198</v>
      </c>
    </row>
    <row r="531" ht="75.75" spans="1:10">
      <c r="A531" s="10">
        <v>529</v>
      </c>
      <c r="B531" s="11" t="s">
        <v>211</v>
      </c>
      <c r="C531" s="45" t="s">
        <v>1665</v>
      </c>
      <c r="D531" s="22" t="s">
        <v>1666</v>
      </c>
      <c r="E531" s="63" t="s">
        <v>1667</v>
      </c>
      <c r="F531" s="22" t="s">
        <v>1661</v>
      </c>
      <c r="G531" s="13" t="s">
        <v>16</v>
      </c>
      <c r="H531" s="14" t="s">
        <v>1668</v>
      </c>
      <c r="I531" s="15">
        <v>4817</v>
      </c>
      <c r="J531" s="16" t="s">
        <v>1198</v>
      </c>
    </row>
    <row r="532" ht="30" spans="1:10">
      <c r="A532" s="10">
        <v>530</v>
      </c>
      <c r="B532" s="11" t="s">
        <v>211</v>
      </c>
      <c r="C532" s="45" t="s">
        <v>1669</v>
      </c>
      <c r="D532" s="22" t="s">
        <v>1670</v>
      </c>
      <c r="E532" s="62"/>
      <c r="F532" s="20"/>
      <c r="G532" s="13" t="s">
        <v>16</v>
      </c>
      <c r="H532" s="14"/>
      <c r="I532" s="19">
        <f>4817*0.3</f>
        <v>1445.1</v>
      </c>
      <c r="J532" s="16" t="s">
        <v>1198</v>
      </c>
    </row>
    <row r="533" ht="90" spans="1:10">
      <c r="A533" s="10">
        <v>531</v>
      </c>
      <c r="B533" s="11" t="s">
        <v>211</v>
      </c>
      <c r="C533" s="45" t="s">
        <v>1671</v>
      </c>
      <c r="D533" s="22" t="s">
        <v>1672</v>
      </c>
      <c r="E533" s="63" t="s">
        <v>1673</v>
      </c>
      <c r="F533" s="22" t="s">
        <v>1661</v>
      </c>
      <c r="G533" s="13" t="s">
        <v>16</v>
      </c>
      <c r="H533" s="14" t="s">
        <v>1674</v>
      </c>
      <c r="I533" s="15">
        <v>1200</v>
      </c>
      <c r="J533" s="16" t="s">
        <v>1198</v>
      </c>
    </row>
    <row r="534" ht="30" spans="1:10">
      <c r="A534" s="10">
        <v>532</v>
      </c>
      <c r="B534" s="11" t="s">
        <v>211</v>
      </c>
      <c r="C534" s="45" t="s">
        <v>1675</v>
      </c>
      <c r="D534" s="22" t="s">
        <v>1676</v>
      </c>
      <c r="E534" s="62"/>
      <c r="F534" s="52"/>
      <c r="G534" s="13" t="s">
        <v>16</v>
      </c>
      <c r="H534" s="14"/>
      <c r="I534" s="19">
        <f>1200*0.3</f>
        <v>360</v>
      </c>
      <c r="J534" s="16" t="s">
        <v>1198</v>
      </c>
    </row>
    <row r="535" ht="91.5" spans="1:10">
      <c r="A535" s="10">
        <v>533</v>
      </c>
      <c r="B535" s="11" t="s">
        <v>211</v>
      </c>
      <c r="C535" s="45" t="s">
        <v>1677</v>
      </c>
      <c r="D535" s="22" t="s">
        <v>1678</v>
      </c>
      <c r="E535" s="63" t="s">
        <v>1679</v>
      </c>
      <c r="F535" s="53" t="s">
        <v>1680</v>
      </c>
      <c r="G535" s="13" t="s">
        <v>16</v>
      </c>
      <c r="H535" s="14" t="s">
        <v>1681</v>
      </c>
      <c r="I535" s="15">
        <v>5199</v>
      </c>
      <c r="J535" s="16" t="s">
        <v>1198</v>
      </c>
    </row>
    <row r="536" ht="30" spans="1:10">
      <c r="A536" s="10">
        <v>534</v>
      </c>
      <c r="B536" s="11" t="s">
        <v>211</v>
      </c>
      <c r="C536" s="45" t="s">
        <v>1682</v>
      </c>
      <c r="D536" s="22" t="s">
        <v>1683</v>
      </c>
      <c r="E536" s="62"/>
      <c r="F536" s="52"/>
      <c r="G536" s="13" t="s">
        <v>16</v>
      </c>
      <c r="H536" s="14"/>
      <c r="I536" s="19">
        <f>5199*0.3</f>
        <v>1559.7</v>
      </c>
      <c r="J536" s="16" t="s">
        <v>1198</v>
      </c>
    </row>
    <row r="537" ht="77.25" spans="1:10">
      <c r="A537" s="10">
        <v>535</v>
      </c>
      <c r="B537" s="11" t="s">
        <v>211</v>
      </c>
      <c r="C537" s="45" t="s">
        <v>1684</v>
      </c>
      <c r="D537" s="22" t="s">
        <v>1685</v>
      </c>
      <c r="E537" s="63" t="s">
        <v>1686</v>
      </c>
      <c r="F537" s="53" t="s">
        <v>1687</v>
      </c>
      <c r="G537" s="13" t="s">
        <v>16</v>
      </c>
      <c r="H537" s="14" t="s">
        <v>1688</v>
      </c>
      <c r="I537" s="15">
        <v>5659</v>
      </c>
      <c r="J537" s="16" t="s">
        <v>1198</v>
      </c>
    </row>
    <row r="538" ht="30" spans="1:10">
      <c r="A538" s="10">
        <v>536</v>
      </c>
      <c r="B538" s="11" t="s">
        <v>211</v>
      </c>
      <c r="C538" s="45" t="s">
        <v>1689</v>
      </c>
      <c r="D538" s="22" t="s">
        <v>1690</v>
      </c>
      <c r="E538" s="62"/>
      <c r="F538" s="52"/>
      <c r="G538" s="13" t="s">
        <v>16</v>
      </c>
      <c r="H538" s="14"/>
      <c r="I538" s="19">
        <f>5659*0.3</f>
        <v>1697.7</v>
      </c>
      <c r="J538" s="16" t="s">
        <v>1198</v>
      </c>
    </row>
    <row r="539" ht="75.75" spans="1:10">
      <c r="A539" s="10">
        <v>537</v>
      </c>
      <c r="B539" s="11" t="s">
        <v>211</v>
      </c>
      <c r="C539" s="45" t="s">
        <v>1691</v>
      </c>
      <c r="D539" s="22" t="s">
        <v>1692</v>
      </c>
      <c r="E539" s="63" t="s">
        <v>1693</v>
      </c>
      <c r="F539" s="53" t="s">
        <v>1687</v>
      </c>
      <c r="G539" s="13" t="s">
        <v>16</v>
      </c>
      <c r="H539" s="14" t="s">
        <v>1694</v>
      </c>
      <c r="I539" s="15">
        <v>3300</v>
      </c>
      <c r="J539" s="16" t="s">
        <v>1198</v>
      </c>
    </row>
    <row r="540" ht="30" spans="1:10">
      <c r="A540" s="10">
        <v>538</v>
      </c>
      <c r="B540" s="11" t="s">
        <v>211</v>
      </c>
      <c r="C540" s="45" t="s">
        <v>1695</v>
      </c>
      <c r="D540" s="22" t="s">
        <v>1696</v>
      </c>
      <c r="E540" s="62"/>
      <c r="F540" s="52"/>
      <c r="G540" s="13" t="s">
        <v>16</v>
      </c>
      <c r="H540" s="14"/>
      <c r="I540" s="19">
        <f>3300*0.3</f>
        <v>990</v>
      </c>
      <c r="J540" s="16" t="s">
        <v>1198</v>
      </c>
    </row>
    <row r="541" ht="137.25" spans="1:10">
      <c r="A541" s="10">
        <v>539</v>
      </c>
      <c r="B541" s="11" t="s">
        <v>211</v>
      </c>
      <c r="C541" s="45" t="s">
        <v>1697</v>
      </c>
      <c r="D541" s="22" t="s">
        <v>1698</v>
      </c>
      <c r="E541" s="63" t="s">
        <v>1699</v>
      </c>
      <c r="F541" s="53" t="s">
        <v>1687</v>
      </c>
      <c r="G541" s="13" t="s">
        <v>16</v>
      </c>
      <c r="H541" s="14" t="s">
        <v>1700</v>
      </c>
      <c r="I541" s="15">
        <v>2314</v>
      </c>
      <c r="J541" s="16" t="s">
        <v>1198</v>
      </c>
    </row>
    <row r="542" ht="30" spans="1:10">
      <c r="A542" s="10">
        <v>540</v>
      </c>
      <c r="B542" s="11" t="s">
        <v>211</v>
      </c>
      <c r="C542" s="45" t="s">
        <v>1701</v>
      </c>
      <c r="D542" s="22" t="s">
        <v>1702</v>
      </c>
      <c r="E542" s="54"/>
      <c r="F542" s="20"/>
      <c r="G542" s="13" t="s">
        <v>16</v>
      </c>
      <c r="H542" s="14"/>
      <c r="I542" s="19">
        <f>2314*0.3</f>
        <v>694.2</v>
      </c>
      <c r="J542" s="16" t="s">
        <v>1198</v>
      </c>
    </row>
    <row r="543" ht="42.75" spans="1:10">
      <c r="A543" s="10">
        <v>541</v>
      </c>
      <c r="B543" s="11" t="s">
        <v>211</v>
      </c>
      <c r="C543" s="45" t="s">
        <v>1703</v>
      </c>
      <c r="D543" s="22" t="s">
        <v>1704</v>
      </c>
      <c r="E543" s="55" t="s">
        <v>1705</v>
      </c>
      <c r="F543" s="22" t="s">
        <v>1706</v>
      </c>
      <c r="G543" s="13" t="s">
        <v>736</v>
      </c>
      <c r="H543" s="61"/>
      <c r="I543" s="15">
        <v>4469</v>
      </c>
      <c r="J543" s="16" t="s">
        <v>1198</v>
      </c>
    </row>
    <row r="544" ht="30" spans="1:10">
      <c r="A544" s="10">
        <v>542</v>
      </c>
      <c r="B544" s="11" t="s">
        <v>211</v>
      </c>
      <c r="C544" s="45" t="s">
        <v>1707</v>
      </c>
      <c r="D544" s="22" t="s">
        <v>1708</v>
      </c>
      <c r="E544" s="54"/>
      <c r="F544" s="20"/>
      <c r="G544" s="13" t="s">
        <v>736</v>
      </c>
      <c r="H544" s="14"/>
      <c r="I544" s="51">
        <f>4469*0.3</f>
        <v>1340.7</v>
      </c>
      <c r="J544" s="16" t="s">
        <v>1198</v>
      </c>
    </row>
    <row r="545" ht="42.75" spans="1:10">
      <c r="A545" s="10">
        <v>543</v>
      </c>
      <c r="B545" s="11" t="s">
        <v>211</v>
      </c>
      <c r="C545" s="45" t="s">
        <v>1709</v>
      </c>
      <c r="D545" s="22" t="s">
        <v>1710</v>
      </c>
      <c r="E545" s="55" t="s">
        <v>1711</v>
      </c>
      <c r="F545" s="22" t="s">
        <v>1712</v>
      </c>
      <c r="G545" s="13" t="s">
        <v>736</v>
      </c>
      <c r="H545" s="14"/>
      <c r="I545" s="47">
        <v>2649</v>
      </c>
      <c r="J545" s="16" t="s">
        <v>1198</v>
      </c>
    </row>
    <row r="546" ht="30" spans="1:10">
      <c r="A546" s="10">
        <v>544</v>
      </c>
      <c r="B546" s="11" t="s">
        <v>211</v>
      </c>
      <c r="C546" s="45" t="s">
        <v>1713</v>
      </c>
      <c r="D546" s="22" t="s">
        <v>1714</v>
      </c>
      <c r="E546" s="68"/>
      <c r="F546" s="18"/>
      <c r="G546" s="13" t="s">
        <v>736</v>
      </c>
      <c r="H546" s="14"/>
      <c r="I546" s="19">
        <f>2649*0.3</f>
        <v>794.7</v>
      </c>
      <c r="J546" s="16" t="s">
        <v>1198</v>
      </c>
    </row>
    <row r="547" ht="42.75" spans="1:10">
      <c r="A547" s="10">
        <v>545</v>
      </c>
      <c r="B547" s="69" t="s">
        <v>177</v>
      </c>
      <c r="C547" s="99" t="s">
        <v>1715</v>
      </c>
      <c r="D547" s="70" t="s">
        <v>1716</v>
      </c>
      <c r="E547" s="70" t="s">
        <v>1717</v>
      </c>
      <c r="F547" s="70" t="s">
        <v>1718</v>
      </c>
      <c r="G547" s="71" t="s">
        <v>16</v>
      </c>
      <c r="H547" s="72" t="s">
        <v>1719</v>
      </c>
      <c r="I547" s="24">
        <v>382.12</v>
      </c>
      <c r="J547" s="16" t="s">
        <v>1720</v>
      </c>
    </row>
    <row r="548" ht="42.75" spans="1:10">
      <c r="A548" s="10">
        <v>546</v>
      </c>
      <c r="B548" s="10" t="s">
        <v>177</v>
      </c>
      <c r="C548" s="96" t="s">
        <v>1721</v>
      </c>
      <c r="D548" s="12" t="s">
        <v>1722</v>
      </c>
      <c r="E548" s="12" t="s">
        <v>1723</v>
      </c>
      <c r="F548" s="12" t="s">
        <v>1724</v>
      </c>
      <c r="G548" s="13" t="s">
        <v>16</v>
      </c>
      <c r="H548" s="14"/>
      <c r="I548" s="24">
        <v>223.04</v>
      </c>
      <c r="J548" s="16" t="s">
        <v>1720</v>
      </c>
    </row>
    <row r="549" ht="42.75" spans="1:10">
      <c r="A549" s="10">
        <v>547</v>
      </c>
      <c r="B549" s="10" t="s">
        <v>177</v>
      </c>
      <c r="C549" s="96" t="s">
        <v>1725</v>
      </c>
      <c r="D549" s="12" t="s">
        <v>1726</v>
      </c>
      <c r="E549" s="12" t="s">
        <v>1727</v>
      </c>
      <c r="F549" s="12" t="s">
        <v>1728</v>
      </c>
      <c r="G549" s="13" t="s">
        <v>369</v>
      </c>
      <c r="H549" s="14"/>
      <c r="I549" s="24">
        <v>572.36</v>
      </c>
      <c r="J549" s="16" t="s">
        <v>1720</v>
      </c>
    </row>
    <row r="550" ht="42.75" spans="1:10">
      <c r="A550" s="10">
        <v>548</v>
      </c>
      <c r="B550" s="10" t="s">
        <v>177</v>
      </c>
      <c r="C550" s="96" t="s">
        <v>1729</v>
      </c>
      <c r="D550" s="12" t="s">
        <v>1730</v>
      </c>
      <c r="E550" s="12" t="s">
        <v>1731</v>
      </c>
      <c r="F550" s="12" t="s">
        <v>1732</v>
      </c>
      <c r="G550" s="13" t="s">
        <v>369</v>
      </c>
      <c r="H550" s="14"/>
      <c r="I550" s="24">
        <v>327.18</v>
      </c>
      <c r="J550" s="16" t="s">
        <v>1720</v>
      </c>
    </row>
    <row r="551" ht="30" spans="1:10">
      <c r="A551" s="10">
        <v>549</v>
      </c>
      <c r="B551" s="10" t="s">
        <v>177</v>
      </c>
      <c r="C551" s="10" t="s">
        <v>1733</v>
      </c>
      <c r="D551" s="12" t="s">
        <v>1734</v>
      </c>
      <c r="E551" s="14"/>
      <c r="F551" s="14"/>
      <c r="G551" s="13" t="s">
        <v>369</v>
      </c>
      <c r="H551" s="14"/>
      <c r="I551" s="24">
        <v>327.18</v>
      </c>
      <c r="J551" s="16" t="s">
        <v>1720</v>
      </c>
    </row>
    <row r="552" ht="42.75" spans="1:10">
      <c r="A552" s="10">
        <v>550</v>
      </c>
      <c r="B552" s="10" t="s">
        <v>177</v>
      </c>
      <c r="C552" s="96" t="s">
        <v>1735</v>
      </c>
      <c r="D552" s="12" t="s">
        <v>1736</v>
      </c>
      <c r="E552" s="12" t="s">
        <v>1737</v>
      </c>
      <c r="F552" s="12" t="s">
        <v>1732</v>
      </c>
      <c r="G552" s="13" t="s">
        <v>16</v>
      </c>
      <c r="H552" s="14"/>
      <c r="I552" s="24">
        <v>287.146252285192</v>
      </c>
      <c r="J552" s="16" t="s">
        <v>1720</v>
      </c>
    </row>
    <row r="553" ht="57" spans="1:10">
      <c r="A553" s="10">
        <v>551</v>
      </c>
      <c r="B553" s="10" t="s">
        <v>177</v>
      </c>
      <c r="C553" s="96" t="s">
        <v>1738</v>
      </c>
      <c r="D553" s="12" t="s">
        <v>1739</v>
      </c>
      <c r="E553" s="12" t="s">
        <v>1740</v>
      </c>
      <c r="F553" s="12" t="s">
        <v>1741</v>
      </c>
      <c r="G553" s="13" t="s">
        <v>16</v>
      </c>
      <c r="H553" s="14"/>
      <c r="I553" s="24">
        <v>63</v>
      </c>
      <c r="J553" s="16" t="s">
        <v>1720</v>
      </c>
    </row>
    <row r="554" ht="42.75" spans="1:10">
      <c r="A554" s="10">
        <v>552</v>
      </c>
      <c r="B554" s="10" t="s">
        <v>177</v>
      </c>
      <c r="C554" s="96" t="s">
        <v>1742</v>
      </c>
      <c r="D554" s="12" t="s">
        <v>1743</v>
      </c>
      <c r="E554" s="12" t="s">
        <v>1744</v>
      </c>
      <c r="F554" s="12" t="s">
        <v>1745</v>
      </c>
      <c r="G554" s="13" t="s">
        <v>16</v>
      </c>
      <c r="H554" s="14"/>
      <c r="I554" s="24">
        <v>200</v>
      </c>
      <c r="J554" s="16" t="s">
        <v>1720</v>
      </c>
    </row>
    <row r="555" ht="42.75" spans="1:10">
      <c r="A555" s="10">
        <v>553</v>
      </c>
      <c r="B555" s="10" t="s">
        <v>177</v>
      </c>
      <c r="C555" s="96" t="s">
        <v>1746</v>
      </c>
      <c r="D555" s="12" t="s">
        <v>1747</v>
      </c>
      <c r="E555" s="12" t="s">
        <v>1748</v>
      </c>
      <c r="F555" s="12" t="s">
        <v>1749</v>
      </c>
      <c r="G555" s="13" t="s">
        <v>16</v>
      </c>
      <c r="H555" s="14"/>
      <c r="I555" s="24">
        <v>95</v>
      </c>
      <c r="J555" s="16" t="s">
        <v>1720</v>
      </c>
    </row>
    <row r="556" ht="42.75" spans="1:10">
      <c r="A556" s="10">
        <v>554</v>
      </c>
      <c r="B556" s="10" t="s">
        <v>177</v>
      </c>
      <c r="C556" s="96" t="s">
        <v>1750</v>
      </c>
      <c r="D556" s="12" t="s">
        <v>1751</v>
      </c>
      <c r="E556" s="12" t="s">
        <v>1752</v>
      </c>
      <c r="F556" s="12" t="s">
        <v>1753</v>
      </c>
      <c r="G556" s="13" t="s">
        <v>16</v>
      </c>
      <c r="H556" s="43"/>
      <c r="I556" s="24">
        <v>104</v>
      </c>
      <c r="J556" s="16" t="s">
        <v>1720</v>
      </c>
    </row>
    <row r="557" ht="42.75" spans="1:10">
      <c r="A557" s="10">
        <v>555</v>
      </c>
      <c r="B557" s="10" t="s">
        <v>211</v>
      </c>
      <c r="C557" s="96" t="s">
        <v>1754</v>
      </c>
      <c r="D557" s="12" t="s">
        <v>1755</v>
      </c>
      <c r="E557" s="12" t="s">
        <v>1756</v>
      </c>
      <c r="F557" s="12" t="s">
        <v>1757</v>
      </c>
      <c r="G557" s="13" t="s">
        <v>16</v>
      </c>
      <c r="H557" s="12" t="s">
        <v>1758</v>
      </c>
      <c r="I557" s="24">
        <v>756</v>
      </c>
      <c r="J557" s="16" t="s">
        <v>1720</v>
      </c>
    </row>
    <row r="558" ht="45.75" spans="1:10">
      <c r="A558" s="10">
        <v>556</v>
      </c>
      <c r="B558" s="10" t="s">
        <v>11</v>
      </c>
      <c r="C558" s="96" t="s">
        <v>1759</v>
      </c>
      <c r="D558" s="12" t="s">
        <v>1760</v>
      </c>
      <c r="E558" s="12" t="s">
        <v>1761</v>
      </c>
      <c r="F558" s="12" t="s">
        <v>1762</v>
      </c>
      <c r="G558" s="13" t="s">
        <v>16</v>
      </c>
      <c r="H558" s="12" t="s">
        <v>1763</v>
      </c>
      <c r="I558" s="24">
        <v>1389.08</v>
      </c>
      <c r="J558" s="16" t="s">
        <v>1720</v>
      </c>
    </row>
    <row r="559" ht="93" spans="1:10">
      <c r="A559" s="10">
        <v>557</v>
      </c>
      <c r="B559" s="10" t="s">
        <v>11</v>
      </c>
      <c r="C559" s="96" t="s">
        <v>1764</v>
      </c>
      <c r="D559" s="12" t="s">
        <v>1765</v>
      </c>
      <c r="E559" s="12" t="s">
        <v>1766</v>
      </c>
      <c r="F559" s="12" t="s">
        <v>1767</v>
      </c>
      <c r="G559" s="13" t="s">
        <v>16</v>
      </c>
      <c r="H559" s="14" t="s">
        <v>1768</v>
      </c>
      <c r="I559" s="24">
        <v>1884.36</v>
      </c>
      <c r="J559" s="16" t="s">
        <v>1720</v>
      </c>
    </row>
    <row r="560" ht="42.75" spans="1:10">
      <c r="A560" s="10">
        <v>558</v>
      </c>
      <c r="B560" s="10" t="s">
        <v>211</v>
      </c>
      <c r="C560" s="96" t="s">
        <v>1769</v>
      </c>
      <c r="D560" s="12" t="s">
        <v>1770</v>
      </c>
      <c r="E560" s="12" t="s">
        <v>1771</v>
      </c>
      <c r="F560" s="12" t="s">
        <v>1772</v>
      </c>
      <c r="G560" s="13" t="s">
        <v>16</v>
      </c>
      <c r="H560" s="12" t="s">
        <v>1773</v>
      </c>
      <c r="I560" s="24">
        <v>2132</v>
      </c>
      <c r="J560" s="16" t="s">
        <v>1720</v>
      </c>
    </row>
    <row r="561" ht="30" spans="1:10">
      <c r="A561" s="10">
        <v>559</v>
      </c>
      <c r="B561" s="10" t="s">
        <v>211</v>
      </c>
      <c r="C561" s="96" t="s">
        <v>1774</v>
      </c>
      <c r="D561" s="12" t="s">
        <v>1775</v>
      </c>
      <c r="E561" s="14"/>
      <c r="F561" s="14"/>
      <c r="G561" s="13" t="s">
        <v>16</v>
      </c>
      <c r="H561" s="12" t="s">
        <v>1773</v>
      </c>
      <c r="I561" s="24">
        <v>213.2</v>
      </c>
      <c r="J561" s="16" t="s">
        <v>1720</v>
      </c>
    </row>
    <row r="562" ht="30" spans="1:10">
      <c r="A562" s="10">
        <v>560</v>
      </c>
      <c r="B562" s="10" t="s">
        <v>211</v>
      </c>
      <c r="C562" s="96" t="s">
        <v>1776</v>
      </c>
      <c r="D562" s="12" t="s">
        <v>1777</v>
      </c>
      <c r="E562" s="14"/>
      <c r="F562" s="14"/>
      <c r="G562" s="13" t="s">
        <v>16</v>
      </c>
      <c r="H562" s="14"/>
      <c r="I562" s="73">
        <f>2132*0.3</f>
        <v>639.6</v>
      </c>
      <c r="J562" s="16" t="s">
        <v>1720</v>
      </c>
    </row>
    <row r="563" ht="42.75" spans="1:10">
      <c r="A563" s="10">
        <v>561</v>
      </c>
      <c r="B563" s="10" t="s">
        <v>211</v>
      </c>
      <c r="C563" s="96" t="s">
        <v>1778</v>
      </c>
      <c r="D563" s="12" t="s">
        <v>1779</v>
      </c>
      <c r="E563" s="12" t="s">
        <v>1780</v>
      </c>
      <c r="F563" s="12" t="s">
        <v>1781</v>
      </c>
      <c r="G563" s="13" t="s">
        <v>16</v>
      </c>
      <c r="H563" s="12" t="s">
        <v>1773</v>
      </c>
      <c r="I563" s="24">
        <v>3448</v>
      </c>
      <c r="J563" s="16" t="s">
        <v>1720</v>
      </c>
    </row>
    <row r="564" ht="30" spans="1:10">
      <c r="A564" s="10">
        <v>562</v>
      </c>
      <c r="B564" s="10" t="s">
        <v>211</v>
      </c>
      <c r="C564" s="96" t="s">
        <v>1782</v>
      </c>
      <c r="D564" s="12" t="s">
        <v>1783</v>
      </c>
      <c r="E564" s="14"/>
      <c r="F564" s="14"/>
      <c r="G564" s="13" t="s">
        <v>16</v>
      </c>
      <c r="H564" s="12" t="s">
        <v>1773</v>
      </c>
      <c r="I564" s="24">
        <v>1034</v>
      </c>
      <c r="J564" s="16" t="s">
        <v>1720</v>
      </c>
    </row>
    <row r="565" ht="30" spans="1:10">
      <c r="A565" s="10">
        <v>563</v>
      </c>
      <c r="B565" s="10" t="s">
        <v>211</v>
      </c>
      <c r="C565" s="96" t="s">
        <v>1784</v>
      </c>
      <c r="D565" s="12" t="s">
        <v>1785</v>
      </c>
      <c r="E565" s="14"/>
      <c r="F565" s="14"/>
      <c r="G565" s="13" t="s">
        <v>16</v>
      </c>
      <c r="H565" s="14"/>
      <c r="I565" s="73">
        <f>3448*0.3</f>
        <v>1034.4</v>
      </c>
      <c r="J565" s="16" t="s">
        <v>1720</v>
      </c>
    </row>
    <row r="566" ht="42.75" spans="1:10">
      <c r="A566" s="10">
        <v>564</v>
      </c>
      <c r="B566" s="10" t="s">
        <v>211</v>
      </c>
      <c r="C566" s="96" t="s">
        <v>1786</v>
      </c>
      <c r="D566" s="12" t="s">
        <v>1787</v>
      </c>
      <c r="E566" s="12" t="s">
        <v>1788</v>
      </c>
      <c r="F566" s="12" t="s">
        <v>1789</v>
      </c>
      <c r="G566" s="13" t="s">
        <v>16</v>
      </c>
      <c r="H566" s="12" t="s">
        <v>1773</v>
      </c>
      <c r="I566" s="24">
        <v>465</v>
      </c>
      <c r="J566" s="16" t="s">
        <v>1720</v>
      </c>
    </row>
    <row r="567" ht="30" spans="1:10">
      <c r="A567" s="10">
        <v>565</v>
      </c>
      <c r="B567" s="10" t="s">
        <v>211</v>
      </c>
      <c r="C567" s="96" t="s">
        <v>1790</v>
      </c>
      <c r="D567" s="12" t="s">
        <v>1791</v>
      </c>
      <c r="E567" s="14"/>
      <c r="F567" s="14"/>
      <c r="G567" s="13" t="s">
        <v>16</v>
      </c>
      <c r="H567" s="12" t="s">
        <v>1773</v>
      </c>
      <c r="I567" s="24">
        <v>372</v>
      </c>
      <c r="J567" s="16" t="s">
        <v>1720</v>
      </c>
    </row>
    <row r="568" ht="30" spans="1:10">
      <c r="A568" s="10">
        <v>566</v>
      </c>
      <c r="B568" s="10" t="s">
        <v>211</v>
      </c>
      <c r="C568" s="96" t="s">
        <v>1792</v>
      </c>
      <c r="D568" s="12" t="s">
        <v>1793</v>
      </c>
      <c r="E568" s="14"/>
      <c r="F568" s="14"/>
      <c r="G568" s="13" t="s">
        <v>16</v>
      </c>
      <c r="H568" s="14"/>
      <c r="I568" s="73">
        <f>465*0.3</f>
        <v>139.5</v>
      </c>
      <c r="J568" s="16" t="s">
        <v>1720</v>
      </c>
    </row>
    <row r="569" ht="42.75" spans="1:10">
      <c r="A569" s="10">
        <v>567</v>
      </c>
      <c r="B569" s="10" t="s">
        <v>211</v>
      </c>
      <c r="C569" s="96" t="s">
        <v>1794</v>
      </c>
      <c r="D569" s="12" t="s">
        <v>1795</v>
      </c>
      <c r="E569" s="12" t="s">
        <v>1796</v>
      </c>
      <c r="F569" s="12" t="s">
        <v>1797</v>
      </c>
      <c r="G569" s="13" t="s">
        <v>16</v>
      </c>
      <c r="H569" s="14"/>
      <c r="I569" s="24">
        <v>3281.64</v>
      </c>
      <c r="J569" s="16" t="s">
        <v>1720</v>
      </c>
    </row>
    <row r="570" ht="30" spans="1:10">
      <c r="A570" s="10">
        <v>568</v>
      </c>
      <c r="B570" s="10" t="s">
        <v>211</v>
      </c>
      <c r="C570" s="96" t="s">
        <v>1798</v>
      </c>
      <c r="D570" s="12" t="s">
        <v>1799</v>
      </c>
      <c r="E570" s="14"/>
      <c r="F570" s="14"/>
      <c r="G570" s="13" t="s">
        <v>16</v>
      </c>
      <c r="H570" s="14"/>
      <c r="I570" s="73">
        <f>3282*0.3</f>
        <v>984.6</v>
      </c>
      <c r="J570" s="16" t="s">
        <v>1720</v>
      </c>
    </row>
    <row r="571" ht="30" spans="1:10">
      <c r="A571" s="10">
        <v>569</v>
      </c>
      <c r="B571" s="10" t="s">
        <v>211</v>
      </c>
      <c r="C571" s="96" t="s">
        <v>1800</v>
      </c>
      <c r="D571" s="12" t="s">
        <v>1801</v>
      </c>
      <c r="E571" s="14"/>
      <c r="F571" s="14"/>
      <c r="G571" s="13" t="s">
        <v>16</v>
      </c>
      <c r="H571" s="14"/>
      <c r="I571" s="24">
        <v>3281.64</v>
      </c>
      <c r="J571" s="16" t="s">
        <v>1720</v>
      </c>
    </row>
    <row r="572" ht="30" spans="1:10">
      <c r="A572" s="10">
        <v>570</v>
      </c>
      <c r="B572" s="10" t="s">
        <v>211</v>
      </c>
      <c r="C572" s="96" t="s">
        <v>1802</v>
      </c>
      <c r="D572" s="12" t="s">
        <v>1803</v>
      </c>
      <c r="E572" s="14"/>
      <c r="F572" s="14"/>
      <c r="G572" s="13" t="s">
        <v>16</v>
      </c>
      <c r="H572" s="14"/>
      <c r="I572" s="24">
        <v>3281.64</v>
      </c>
      <c r="J572" s="16" t="s">
        <v>1720</v>
      </c>
    </row>
    <row r="573" ht="42.75" spans="1:10">
      <c r="A573" s="10">
        <v>571</v>
      </c>
      <c r="B573" s="10" t="s">
        <v>211</v>
      </c>
      <c r="C573" s="96" t="s">
        <v>1804</v>
      </c>
      <c r="D573" s="12" t="s">
        <v>1805</v>
      </c>
      <c r="E573" s="12" t="s">
        <v>1806</v>
      </c>
      <c r="F573" s="12" t="s">
        <v>1807</v>
      </c>
      <c r="G573" s="13" t="s">
        <v>369</v>
      </c>
      <c r="H573" s="14"/>
      <c r="I573" s="24">
        <v>349</v>
      </c>
      <c r="J573" s="16" t="s">
        <v>1720</v>
      </c>
    </row>
    <row r="574" ht="30" spans="1:10">
      <c r="A574" s="10">
        <v>572</v>
      </c>
      <c r="B574" s="10" t="s">
        <v>211</v>
      </c>
      <c r="C574" s="96" t="s">
        <v>1808</v>
      </c>
      <c r="D574" s="12" t="s">
        <v>1809</v>
      </c>
      <c r="E574" s="14"/>
      <c r="F574" s="14"/>
      <c r="G574" s="13" t="s">
        <v>369</v>
      </c>
      <c r="H574" s="14"/>
      <c r="I574" s="24">
        <v>35</v>
      </c>
      <c r="J574" s="16" t="s">
        <v>1720</v>
      </c>
    </row>
    <row r="575" ht="15.75" spans="1:10">
      <c r="A575" s="10">
        <v>573</v>
      </c>
      <c r="B575" s="10" t="s">
        <v>211</v>
      </c>
      <c r="C575" s="10" t="s">
        <v>1810</v>
      </c>
      <c r="D575" s="12" t="s">
        <v>1811</v>
      </c>
      <c r="E575" s="14"/>
      <c r="F575" s="14"/>
      <c r="G575" s="13" t="s">
        <v>369</v>
      </c>
      <c r="H575" s="14"/>
      <c r="I575" s="73">
        <f>349*0.3</f>
        <v>104.7</v>
      </c>
      <c r="J575" s="16" t="s">
        <v>1720</v>
      </c>
    </row>
    <row r="576" ht="15.75" spans="1:10">
      <c r="A576" s="10">
        <v>574</v>
      </c>
      <c r="B576" s="10" t="s">
        <v>211</v>
      </c>
      <c r="C576" s="96" t="s">
        <v>1812</v>
      </c>
      <c r="D576" s="12" t="s">
        <v>1813</v>
      </c>
      <c r="E576" s="14"/>
      <c r="F576" s="14"/>
      <c r="G576" s="13" t="s">
        <v>369</v>
      </c>
      <c r="H576" s="14"/>
      <c r="I576" s="24">
        <v>349</v>
      </c>
      <c r="J576" s="16" t="s">
        <v>1720</v>
      </c>
    </row>
    <row r="577" ht="42.75" spans="1:10">
      <c r="A577" s="10">
        <v>575</v>
      </c>
      <c r="B577" s="10" t="s">
        <v>211</v>
      </c>
      <c r="C577" s="96" t="s">
        <v>1814</v>
      </c>
      <c r="D577" s="12" t="s">
        <v>1815</v>
      </c>
      <c r="E577" s="12" t="s">
        <v>1816</v>
      </c>
      <c r="F577" s="12" t="s">
        <v>1817</v>
      </c>
      <c r="G577" s="13" t="s">
        <v>369</v>
      </c>
      <c r="H577" s="14"/>
      <c r="I577" s="24">
        <v>3055</v>
      </c>
      <c r="J577" s="16" t="s">
        <v>1720</v>
      </c>
    </row>
    <row r="578" ht="30" spans="1:10">
      <c r="A578" s="10">
        <v>576</v>
      </c>
      <c r="B578" s="10" t="s">
        <v>211</v>
      </c>
      <c r="C578" s="10" t="s">
        <v>1818</v>
      </c>
      <c r="D578" s="12" t="s">
        <v>1819</v>
      </c>
      <c r="E578" s="14"/>
      <c r="F578" s="14"/>
      <c r="G578" s="13" t="s">
        <v>369</v>
      </c>
      <c r="H578" s="14"/>
      <c r="I578" s="73">
        <f>3055*0.3</f>
        <v>916.5</v>
      </c>
      <c r="J578" s="16" t="s">
        <v>1720</v>
      </c>
    </row>
    <row r="579" ht="42.75" spans="1:10">
      <c r="A579" s="10">
        <v>577</v>
      </c>
      <c r="B579" s="10" t="s">
        <v>211</v>
      </c>
      <c r="C579" s="96" t="s">
        <v>1820</v>
      </c>
      <c r="D579" s="12" t="s">
        <v>1821</v>
      </c>
      <c r="E579" s="12" t="s">
        <v>1822</v>
      </c>
      <c r="F579" s="12" t="s">
        <v>1823</v>
      </c>
      <c r="G579" s="13" t="s">
        <v>369</v>
      </c>
      <c r="H579" s="14"/>
      <c r="I579" s="24">
        <v>1857.3</v>
      </c>
      <c r="J579" s="16" t="s">
        <v>1720</v>
      </c>
    </row>
    <row r="580" ht="30" spans="1:10">
      <c r="A580" s="10">
        <v>578</v>
      </c>
      <c r="B580" s="10" t="s">
        <v>211</v>
      </c>
      <c r="C580" s="96" t="s">
        <v>1824</v>
      </c>
      <c r="D580" s="12" t="s">
        <v>1825</v>
      </c>
      <c r="E580" s="14"/>
      <c r="F580" s="14"/>
      <c r="G580" s="13" t="s">
        <v>369</v>
      </c>
      <c r="H580" s="14"/>
      <c r="I580" s="73">
        <f>1857*0.3</f>
        <v>557.1</v>
      </c>
      <c r="J580" s="16" t="s">
        <v>1720</v>
      </c>
    </row>
    <row r="581" ht="42.75" spans="1:10">
      <c r="A581" s="10">
        <v>579</v>
      </c>
      <c r="B581" s="10" t="s">
        <v>211</v>
      </c>
      <c r="C581" s="96" t="s">
        <v>1826</v>
      </c>
      <c r="D581" s="12" t="s">
        <v>1827</v>
      </c>
      <c r="E581" s="12" t="s">
        <v>1828</v>
      </c>
      <c r="F581" s="12" t="s">
        <v>1829</v>
      </c>
      <c r="G581" s="13" t="s">
        <v>16</v>
      </c>
      <c r="H581" s="14"/>
      <c r="I581" s="24">
        <v>3443</v>
      </c>
      <c r="J581" s="16" t="s">
        <v>1720</v>
      </c>
    </row>
    <row r="582" ht="30" spans="1:10">
      <c r="A582" s="10">
        <v>580</v>
      </c>
      <c r="B582" s="10" t="s">
        <v>211</v>
      </c>
      <c r="C582" s="10" t="s">
        <v>1830</v>
      </c>
      <c r="D582" s="12" t="s">
        <v>1831</v>
      </c>
      <c r="E582" s="14"/>
      <c r="F582" s="14"/>
      <c r="G582" s="13" t="s">
        <v>16</v>
      </c>
      <c r="H582" s="14"/>
      <c r="I582" s="73">
        <f>3443*0.3</f>
        <v>1032.9</v>
      </c>
      <c r="J582" s="16" t="s">
        <v>1720</v>
      </c>
    </row>
    <row r="583" ht="42.75" spans="1:10">
      <c r="A583" s="10">
        <v>581</v>
      </c>
      <c r="B583" s="10" t="s">
        <v>211</v>
      </c>
      <c r="C583" s="96" t="s">
        <v>1832</v>
      </c>
      <c r="D583" s="12" t="s">
        <v>1833</v>
      </c>
      <c r="E583" s="12" t="s">
        <v>1834</v>
      </c>
      <c r="F583" s="12" t="s">
        <v>1835</v>
      </c>
      <c r="G583" s="13" t="s">
        <v>369</v>
      </c>
      <c r="H583" s="14"/>
      <c r="I583" s="24">
        <v>2771.6</v>
      </c>
      <c r="J583" s="16" t="s">
        <v>1720</v>
      </c>
    </row>
    <row r="584" ht="15.75" spans="1:10">
      <c r="A584" s="10">
        <v>582</v>
      </c>
      <c r="B584" s="10" t="s">
        <v>211</v>
      </c>
      <c r="C584" s="96" t="s">
        <v>1836</v>
      </c>
      <c r="D584" s="12" t="s">
        <v>1837</v>
      </c>
      <c r="E584" s="14"/>
      <c r="F584" s="14"/>
      <c r="G584" s="13" t="s">
        <v>369</v>
      </c>
      <c r="H584" s="14"/>
      <c r="I584" s="73">
        <f>2772*0.3</f>
        <v>831.6</v>
      </c>
      <c r="J584" s="16" t="s">
        <v>1720</v>
      </c>
    </row>
    <row r="585" ht="42.75" spans="1:10">
      <c r="A585" s="10">
        <v>583</v>
      </c>
      <c r="B585" s="10" t="s">
        <v>211</v>
      </c>
      <c r="C585" s="96" t="s">
        <v>1838</v>
      </c>
      <c r="D585" s="12" t="s">
        <v>1839</v>
      </c>
      <c r="E585" s="12" t="s">
        <v>1840</v>
      </c>
      <c r="F585" s="12" t="s">
        <v>1841</v>
      </c>
      <c r="G585" s="13" t="s">
        <v>369</v>
      </c>
      <c r="H585" s="14"/>
      <c r="I585" s="24">
        <v>2137.02671755725</v>
      </c>
      <c r="J585" s="16" t="s">
        <v>1720</v>
      </c>
    </row>
    <row r="586" ht="30" spans="1:10">
      <c r="A586" s="10">
        <v>584</v>
      </c>
      <c r="B586" s="10" t="s">
        <v>211</v>
      </c>
      <c r="C586" s="96" t="s">
        <v>1842</v>
      </c>
      <c r="D586" s="12" t="s">
        <v>1843</v>
      </c>
      <c r="E586" s="14"/>
      <c r="F586" s="14"/>
      <c r="G586" s="13" t="s">
        <v>369</v>
      </c>
      <c r="H586" s="14"/>
      <c r="I586" s="73">
        <f>2137*0.3</f>
        <v>641.1</v>
      </c>
      <c r="J586" s="16" t="s">
        <v>1720</v>
      </c>
    </row>
    <row r="587" ht="42.75" spans="1:10">
      <c r="A587" s="10">
        <v>585</v>
      </c>
      <c r="B587" s="10" t="s">
        <v>211</v>
      </c>
      <c r="C587" s="96" t="s">
        <v>1844</v>
      </c>
      <c r="D587" s="12" t="s">
        <v>1845</v>
      </c>
      <c r="E587" s="12" t="s">
        <v>1846</v>
      </c>
      <c r="F587" s="12" t="s">
        <v>1847</v>
      </c>
      <c r="G587" s="13" t="s">
        <v>369</v>
      </c>
      <c r="H587" s="12" t="s">
        <v>1848</v>
      </c>
      <c r="I587" s="24">
        <v>4758</v>
      </c>
      <c r="J587" s="16" t="s">
        <v>1720</v>
      </c>
    </row>
    <row r="588" ht="31.5" spans="1:10">
      <c r="A588" s="10">
        <v>586</v>
      </c>
      <c r="B588" s="10" t="s">
        <v>211</v>
      </c>
      <c r="C588" s="96" t="s">
        <v>1849</v>
      </c>
      <c r="D588" s="12" t="s">
        <v>1850</v>
      </c>
      <c r="E588" s="14"/>
      <c r="F588" s="14"/>
      <c r="G588" s="13" t="s">
        <v>369</v>
      </c>
      <c r="H588" s="12" t="s">
        <v>1848</v>
      </c>
      <c r="I588" s="24">
        <v>2078</v>
      </c>
      <c r="J588" s="16" t="s">
        <v>1720</v>
      </c>
    </row>
    <row r="589" ht="30" spans="1:10">
      <c r="A589" s="10">
        <v>587</v>
      </c>
      <c r="B589" s="10" t="s">
        <v>211</v>
      </c>
      <c r="C589" s="96" t="s">
        <v>1851</v>
      </c>
      <c r="D589" s="12" t="s">
        <v>1852</v>
      </c>
      <c r="E589" s="14"/>
      <c r="F589" s="14"/>
      <c r="G589" s="13" t="s">
        <v>369</v>
      </c>
      <c r="H589" s="14"/>
      <c r="I589" s="73">
        <f>4758*0.3</f>
        <v>1427.4</v>
      </c>
      <c r="J589" s="16" t="s">
        <v>1720</v>
      </c>
    </row>
    <row r="590" ht="42.75" spans="1:10">
      <c r="A590" s="10">
        <v>588</v>
      </c>
      <c r="B590" s="10" t="s">
        <v>211</v>
      </c>
      <c r="C590" s="96" t="s">
        <v>1853</v>
      </c>
      <c r="D590" s="12" t="s">
        <v>1854</v>
      </c>
      <c r="E590" s="12" t="s">
        <v>1855</v>
      </c>
      <c r="F590" s="12" t="s">
        <v>1856</v>
      </c>
      <c r="G590" s="13" t="s">
        <v>369</v>
      </c>
      <c r="H590" s="14"/>
      <c r="I590" s="24">
        <v>3419.88679245283</v>
      </c>
      <c r="J590" s="16" t="s">
        <v>1720</v>
      </c>
    </row>
    <row r="591" ht="15.75" spans="1:10">
      <c r="A591" s="10">
        <v>589</v>
      </c>
      <c r="B591" s="10" t="s">
        <v>211</v>
      </c>
      <c r="C591" s="96" t="s">
        <v>1857</v>
      </c>
      <c r="D591" s="12" t="s">
        <v>1858</v>
      </c>
      <c r="E591" s="14"/>
      <c r="F591" s="14"/>
      <c r="G591" s="13" t="s">
        <v>369</v>
      </c>
      <c r="H591" s="14"/>
      <c r="I591" s="73">
        <f>3420*0.3</f>
        <v>1026</v>
      </c>
      <c r="J591" s="16" t="s">
        <v>1720</v>
      </c>
    </row>
    <row r="592" ht="42.75" spans="1:10">
      <c r="A592" s="10">
        <v>590</v>
      </c>
      <c r="B592" s="10" t="s">
        <v>211</v>
      </c>
      <c r="C592" s="96" t="s">
        <v>1859</v>
      </c>
      <c r="D592" s="12" t="s">
        <v>1860</v>
      </c>
      <c r="E592" s="12" t="s">
        <v>1861</v>
      </c>
      <c r="F592" s="12" t="s">
        <v>1862</v>
      </c>
      <c r="G592" s="13" t="s">
        <v>369</v>
      </c>
      <c r="H592" s="14"/>
      <c r="I592" s="24">
        <v>3083.2</v>
      </c>
      <c r="J592" s="16" t="s">
        <v>1720</v>
      </c>
    </row>
    <row r="593" ht="30" spans="1:10">
      <c r="A593" s="10">
        <v>591</v>
      </c>
      <c r="B593" s="10" t="s">
        <v>211</v>
      </c>
      <c r="C593" s="96" t="s">
        <v>1863</v>
      </c>
      <c r="D593" s="12" t="s">
        <v>1864</v>
      </c>
      <c r="E593" s="14"/>
      <c r="F593" s="14"/>
      <c r="G593" s="13" t="s">
        <v>369</v>
      </c>
      <c r="H593" s="14"/>
      <c r="I593" s="24">
        <v>319</v>
      </c>
      <c r="J593" s="16" t="s">
        <v>1720</v>
      </c>
    </row>
    <row r="594" ht="30" spans="1:10">
      <c r="A594" s="10">
        <v>592</v>
      </c>
      <c r="B594" s="10" t="s">
        <v>211</v>
      </c>
      <c r="C594" s="96" t="s">
        <v>1865</v>
      </c>
      <c r="D594" s="12" t="s">
        <v>1866</v>
      </c>
      <c r="E594" s="14"/>
      <c r="F594" s="14"/>
      <c r="G594" s="13" t="s">
        <v>369</v>
      </c>
      <c r="H594" s="14"/>
      <c r="I594" s="73">
        <f>3083*0.3</f>
        <v>924.9</v>
      </c>
      <c r="J594" s="16" t="s">
        <v>1720</v>
      </c>
    </row>
    <row r="595" ht="42.75" spans="1:10">
      <c r="A595" s="10">
        <v>593</v>
      </c>
      <c r="B595" s="10" t="s">
        <v>211</v>
      </c>
      <c r="C595" s="96" t="s">
        <v>1867</v>
      </c>
      <c r="D595" s="12" t="s">
        <v>1868</v>
      </c>
      <c r="E595" s="12" t="s">
        <v>1869</v>
      </c>
      <c r="F595" s="12" t="s">
        <v>1870</v>
      </c>
      <c r="G595" s="13" t="s">
        <v>369</v>
      </c>
      <c r="H595" s="14"/>
      <c r="I595" s="24">
        <v>3083.2</v>
      </c>
      <c r="J595" s="16" t="s">
        <v>1720</v>
      </c>
    </row>
    <row r="596" ht="30" spans="1:10">
      <c r="A596" s="10">
        <v>594</v>
      </c>
      <c r="B596" s="10" t="s">
        <v>211</v>
      </c>
      <c r="C596" s="96" t="s">
        <v>1871</v>
      </c>
      <c r="D596" s="12" t="s">
        <v>1872</v>
      </c>
      <c r="E596" s="14"/>
      <c r="F596" s="14"/>
      <c r="G596" s="13" t="s">
        <v>369</v>
      </c>
      <c r="H596" s="14"/>
      <c r="I596" s="24">
        <v>319</v>
      </c>
      <c r="J596" s="16" t="s">
        <v>1720</v>
      </c>
    </row>
    <row r="597" ht="30" spans="1:10">
      <c r="A597" s="10">
        <v>595</v>
      </c>
      <c r="B597" s="10" t="s">
        <v>211</v>
      </c>
      <c r="C597" s="96" t="s">
        <v>1873</v>
      </c>
      <c r="D597" s="12" t="s">
        <v>1874</v>
      </c>
      <c r="E597" s="14"/>
      <c r="F597" s="14"/>
      <c r="G597" s="13" t="s">
        <v>369</v>
      </c>
      <c r="H597" s="14"/>
      <c r="I597" s="73">
        <f>3083*0.3</f>
        <v>924.9</v>
      </c>
      <c r="J597" s="16" t="s">
        <v>1720</v>
      </c>
    </row>
    <row r="598" ht="42.75" spans="1:10">
      <c r="A598" s="10">
        <v>596</v>
      </c>
      <c r="B598" s="10" t="s">
        <v>211</v>
      </c>
      <c r="C598" s="96" t="s">
        <v>1875</v>
      </c>
      <c r="D598" s="12" t="s">
        <v>1876</v>
      </c>
      <c r="E598" s="12" t="s">
        <v>1877</v>
      </c>
      <c r="F598" s="12" t="s">
        <v>1878</v>
      </c>
      <c r="G598" s="13" t="s">
        <v>16</v>
      </c>
      <c r="H598" s="14"/>
      <c r="I598" s="24">
        <v>4157.4</v>
      </c>
      <c r="J598" s="16" t="s">
        <v>1720</v>
      </c>
    </row>
    <row r="599" ht="30" spans="1:10">
      <c r="A599" s="10">
        <v>597</v>
      </c>
      <c r="B599" s="10" t="s">
        <v>211</v>
      </c>
      <c r="C599" s="96" t="s">
        <v>1879</v>
      </c>
      <c r="D599" s="12" t="s">
        <v>1880</v>
      </c>
      <c r="E599" s="14"/>
      <c r="F599" s="14"/>
      <c r="G599" s="13" t="s">
        <v>16</v>
      </c>
      <c r="H599" s="14"/>
      <c r="I599" s="73">
        <f>4157*0.3</f>
        <v>1247.1</v>
      </c>
      <c r="J599" s="16" t="s">
        <v>1720</v>
      </c>
    </row>
    <row r="600" ht="30" spans="1:10">
      <c r="A600" s="10">
        <v>598</v>
      </c>
      <c r="B600" s="10" t="s">
        <v>211</v>
      </c>
      <c r="C600" s="96" t="s">
        <v>1881</v>
      </c>
      <c r="D600" s="12" t="s">
        <v>1882</v>
      </c>
      <c r="E600" s="14"/>
      <c r="F600" s="14"/>
      <c r="G600" s="13" t="s">
        <v>16</v>
      </c>
      <c r="H600" s="14"/>
      <c r="I600" s="24">
        <v>4157.4</v>
      </c>
      <c r="J600" s="16" t="s">
        <v>1720</v>
      </c>
    </row>
    <row r="601" ht="42.75" spans="1:10">
      <c r="A601" s="10">
        <v>599</v>
      </c>
      <c r="B601" s="10" t="s">
        <v>211</v>
      </c>
      <c r="C601" s="96" t="s">
        <v>1883</v>
      </c>
      <c r="D601" s="12" t="s">
        <v>1884</v>
      </c>
      <c r="E601" s="12" t="s">
        <v>1885</v>
      </c>
      <c r="F601" s="12" t="s">
        <v>1886</v>
      </c>
      <c r="G601" s="13" t="s">
        <v>16</v>
      </c>
      <c r="H601" s="14"/>
      <c r="I601" s="24">
        <v>2574.8</v>
      </c>
      <c r="J601" s="16" t="s">
        <v>1720</v>
      </c>
    </row>
    <row r="602" ht="30" spans="1:10">
      <c r="A602" s="10">
        <v>600</v>
      </c>
      <c r="B602" s="10" t="s">
        <v>211</v>
      </c>
      <c r="C602" s="96" t="s">
        <v>1887</v>
      </c>
      <c r="D602" s="12" t="s">
        <v>1888</v>
      </c>
      <c r="E602" s="14"/>
      <c r="F602" s="14"/>
      <c r="G602" s="13" t="s">
        <v>16</v>
      </c>
      <c r="H602" s="14"/>
      <c r="I602" s="73">
        <f>2575*0.3</f>
        <v>772.5</v>
      </c>
      <c r="J602" s="16" t="s">
        <v>1720</v>
      </c>
    </row>
    <row r="603" ht="42.75" spans="1:10">
      <c r="A603" s="10">
        <v>601</v>
      </c>
      <c r="B603" s="10" t="s">
        <v>211</v>
      </c>
      <c r="C603" s="96" t="s">
        <v>1889</v>
      </c>
      <c r="D603" s="12" t="s">
        <v>1890</v>
      </c>
      <c r="E603" s="12" t="s">
        <v>1891</v>
      </c>
      <c r="F603" s="12" t="s">
        <v>1892</v>
      </c>
      <c r="G603" s="13" t="s">
        <v>16</v>
      </c>
      <c r="H603" s="14"/>
      <c r="I603" s="24">
        <v>4669</v>
      </c>
      <c r="J603" s="16" t="s">
        <v>1720</v>
      </c>
    </row>
    <row r="604" ht="30" spans="1:10">
      <c r="A604" s="10">
        <v>602</v>
      </c>
      <c r="B604" s="10" t="s">
        <v>211</v>
      </c>
      <c r="C604" s="96" t="s">
        <v>1893</v>
      </c>
      <c r="D604" s="12" t="s">
        <v>1894</v>
      </c>
      <c r="E604" s="14"/>
      <c r="F604" s="14"/>
      <c r="G604" s="13" t="s">
        <v>16</v>
      </c>
      <c r="H604" s="14"/>
      <c r="I604" s="73">
        <f>4669*0.3</f>
        <v>1400.7</v>
      </c>
      <c r="J604" s="16" t="s">
        <v>1720</v>
      </c>
    </row>
    <row r="605" ht="42.75" spans="1:10">
      <c r="A605" s="10">
        <v>603</v>
      </c>
      <c r="B605" s="10" t="s">
        <v>211</v>
      </c>
      <c r="C605" s="96" t="s">
        <v>1895</v>
      </c>
      <c r="D605" s="12" t="s">
        <v>1896</v>
      </c>
      <c r="E605" s="12" t="s">
        <v>1897</v>
      </c>
      <c r="F605" s="12" t="s">
        <v>1898</v>
      </c>
      <c r="G605" s="13" t="s">
        <v>16</v>
      </c>
      <c r="H605" s="14"/>
      <c r="I605" s="24">
        <v>1117</v>
      </c>
      <c r="J605" s="16" t="s">
        <v>1720</v>
      </c>
    </row>
    <row r="606" ht="30" spans="1:10">
      <c r="A606" s="10">
        <v>604</v>
      </c>
      <c r="B606" s="10" t="s">
        <v>211</v>
      </c>
      <c r="C606" s="96" t="s">
        <v>1899</v>
      </c>
      <c r="D606" s="12" t="s">
        <v>1900</v>
      </c>
      <c r="E606" s="14"/>
      <c r="F606" s="14"/>
      <c r="G606" s="13" t="s">
        <v>16</v>
      </c>
      <c r="H606" s="14"/>
      <c r="I606" s="73">
        <f>1117*0.3</f>
        <v>335.1</v>
      </c>
      <c r="J606" s="16" t="s">
        <v>1720</v>
      </c>
    </row>
    <row r="607" ht="42.75" spans="1:10">
      <c r="A607" s="10">
        <v>605</v>
      </c>
      <c r="B607" s="10" t="s">
        <v>211</v>
      </c>
      <c r="C607" s="96" t="s">
        <v>1901</v>
      </c>
      <c r="D607" s="12" t="s">
        <v>1902</v>
      </c>
      <c r="E607" s="12" t="s">
        <v>1903</v>
      </c>
      <c r="F607" s="12" t="s">
        <v>1904</v>
      </c>
      <c r="G607" s="13" t="s">
        <v>16</v>
      </c>
      <c r="H607" s="14"/>
      <c r="I607" s="24">
        <v>1005</v>
      </c>
      <c r="J607" s="16" t="s">
        <v>1720</v>
      </c>
    </row>
    <row r="608" ht="30" spans="1:10">
      <c r="A608" s="10">
        <v>606</v>
      </c>
      <c r="B608" s="10" t="s">
        <v>211</v>
      </c>
      <c r="C608" s="96" t="s">
        <v>1905</v>
      </c>
      <c r="D608" s="12" t="s">
        <v>1906</v>
      </c>
      <c r="E608" s="14"/>
      <c r="F608" s="14"/>
      <c r="G608" s="13" t="s">
        <v>16</v>
      </c>
      <c r="H608" s="14"/>
      <c r="I608" s="73">
        <f>1005*0.3</f>
        <v>301.5</v>
      </c>
      <c r="J608" s="16" t="s">
        <v>1720</v>
      </c>
    </row>
    <row r="609" ht="42.75" spans="1:10">
      <c r="A609" s="10">
        <v>607</v>
      </c>
      <c r="B609" s="10" t="s">
        <v>211</v>
      </c>
      <c r="C609" s="96" t="s">
        <v>1907</v>
      </c>
      <c r="D609" s="12" t="s">
        <v>1908</v>
      </c>
      <c r="E609" s="12" t="s">
        <v>1909</v>
      </c>
      <c r="F609" s="12" t="s">
        <v>1910</v>
      </c>
      <c r="G609" s="13" t="s">
        <v>16</v>
      </c>
      <c r="H609" s="14"/>
      <c r="I609" s="24">
        <v>2211</v>
      </c>
      <c r="J609" s="16" t="s">
        <v>1720</v>
      </c>
    </row>
    <row r="610" ht="30" spans="1:10">
      <c r="A610" s="10">
        <v>608</v>
      </c>
      <c r="B610" s="10" t="s">
        <v>211</v>
      </c>
      <c r="C610" s="96" t="s">
        <v>1911</v>
      </c>
      <c r="D610" s="12" t="s">
        <v>1912</v>
      </c>
      <c r="E610" s="14"/>
      <c r="F610" s="14"/>
      <c r="G610" s="13" t="s">
        <v>16</v>
      </c>
      <c r="H610" s="14"/>
      <c r="I610" s="73">
        <f>2211*0.3</f>
        <v>663.3</v>
      </c>
      <c r="J610" s="16" t="s">
        <v>1720</v>
      </c>
    </row>
    <row r="611" ht="42.75" spans="1:10">
      <c r="A611" s="10">
        <v>609</v>
      </c>
      <c r="B611" s="10" t="s">
        <v>211</v>
      </c>
      <c r="C611" s="96" t="s">
        <v>1913</v>
      </c>
      <c r="D611" s="12" t="s">
        <v>1914</v>
      </c>
      <c r="E611" s="12" t="s">
        <v>1915</v>
      </c>
      <c r="F611" s="12" t="s">
        <v>1916</v>
      </c>
      <c r="G611" s="13" t="s">
        <v>16</v>
      </c>
      <c r="H611" s="14"/>
      <c r="I611" s="24">
        <v>52</v>
      </c>
      <c r="J611" s="16" t="s">
        <v>1720</v>
      </c>
    </row>
    <row r="612" ht="15.75" spans="1:10">
      <c r="A612" s="10">
        <v>610</v>
      </c>
      <c r="B612" s="10" t="s">
        <v>211</v>
      </c>
      <c r="C612" s="96" t="s">
        <v>1917</v>
      </c>
      <c r="D612" s="12" t="s">
        <v>1918</v>
      </c>
      <c r="E612" s="14"/>
      <c r="F612" s="14"/>
      <c r="G612" s="13" t="s">
        <v>16</v>
      </c>
      <c r="H612" s="14"/>
      <c r="I612" s="73">
        <f>52*0.3</f>
        <v>15.6</v>
      </c>
      <c r="J612" s="16" t="s">
        <v>1720</v>
      </c>
    </row>
    <row r="613" ht="42.75" spans="1:10">
      <c r="A613" s="10">
        <v>611</v>
      </c>
      <c r="B613" s="10" t="s">
        <v>211</v>
      </c>
      <c r="C613" s="96" t="s">
        <v>1919</v>
      </c>
      <c r="D613" s="12" t="s">
        <v>1920</v>
      </c>
      <c r="E613" s="12" t="s">
        <v>1921</v>
      </c>
      <c r="F613" s="12" t="s">
        <v>565</v>
      </c>
      <c r="G613" s="13" t="s">
        <v>16</v>
      </c>
      <c r="H613" s="14"/>
      <c r="I613" s="24">
        <v>2078.7</v>
      </c>
      <c r="J613" s="16" t="s">
        <v>1720</v>
      </c>
    </row>
    <row r="614" ht="15.75" spans="1:10">
      <c r="A614" s="10">
        <v>612</v>
      </c>
      <c r="B614" s="10" t="s">
        <v>211</v>
      </c>
      <c r="C614" s="96" t="s">
        <v>1922</v>
      </c>
      <c r="D614" s="12" t="s">
        <v>1923</v>
      </c>
      <c r="E614" s="14"/>
      <c r="F614" s="14"/>
      <c r="G614" s="13" t="s">
        <v>16</v>
      </c>
      <c r="H614" s="14"/>
      <c r="I614" s="73">
        <f>2079*0.3</f>
        <v>623.7</v>
      </c>
      <c r="J614" s="16" t="s">
        <v>1720</v>
      </c>
    </row>
    <row r="615" ht="42.75" spans="1:10">
      <c r="A615" s="10">
        <v>613</v>
      </c>
      <c r="B615" s="10" t="s">
        <v>211</v>
      </c>
      <c r="C615" s="96" t="s">
        <v>1924</v>
      </c>
      <c r="D615" s="12" t="s">
        <v>1925</v>
      </c>
      <c r="E615" s="12" t="s">
        <v>1926</v>
      </c>
      <c r="F615" s="12" t="s">
        <v>1927</v>
      </c>
      <c r="G615" s="13" t="s">
        <v>16</v>
      </c>
      <c r="H615" s="14"/>
      <c r="I615" s="24">
        <v>2611.7</v>
      </c>
      <c r="J615" s="16" t="s">
        <v>1720</v>
      </c>
    </row>
    <row r="616" ht="30" spans="1:10">
      <c r="A616" s="10">
        <v>614</v>
      </c>
      <c r="B616" s="10" t="s">
        <v>211</v>
      </c>
      <c r="C616" s="96" t="s">
        <v>1928</v>
      </c>
      <c r="D616" s="12" t="s">
        <v>1929</v>
      </c>
      <c r="E616" s="14"/>
      <c r="F616" s="14"/>
      <c r="G616" s="13" t="s">
        <v>16</v>
      </c>
      <c r="H616" s="14"/>
      <c r="I616" s="73">
        <f>2612*0.3</f>
        <v>783.6</v>
      </c>
      <c r="J616" s="16" t="s">
        <v>1720</v>
      </c>
    </row>
    <row r="617" ht="42.75" spans="1:10">
      <c r="A617" s="10">
        <v>615</v>
      </c>
      <c r="B617" s="10" t="s">
        <v>211</v>
      </c>
      <c r="C617" s="96" t="s">
        <v>1930</v>
      </c>
      <c r="D617" s="12" t="s">
        <v>1931</v>
      </c>
      <c r="E617" s="12" t="s">
        <v>1932</v>
      </c>
      <c r="F617" s="12" t="s">
        <v>1933</v>
      </c>
      <c r="G617" s="13" t="s">
        <v>16</v>
      </c>
      <c r="H617" s="14"/>
      <c r="I617" s="24">
        <v>2864.26</v>
      </c>
      <c r="J617" s="16" t="s">
        <v>1720</v>
      </c>
    </row>
    <row r="618" ht="30" spans="1:10">
      <c r="A618" s="10">
        <v>616</v>
      </c>
      <c r="B618" s="10" t="s">
        <v>211</v>
      </c>
      <c r="C618" s="96" t="s">
        <v>1934</v>
      </c>
      <c r="D618" s="12" t="s">
        <v>1935</v>
      </c>
      <c r="E618" s="14"/>
      <c r="F618" s="14"/>
      <c r="G618" s="13" t="s">
        <v>16</v>
      </c>
      <c r="H618" s="14"/>
      <c r="I618" s="73">
        <f>2864*0.3</f>
        <v>859.2</v>
      </c>
      <c r="J618" s="16" t="s">
        <v>1720</v>
      </c>
    </row>
    <row r="619" ht="30" spans="1:10">
      <c r="A619" s="10">
        <v>617</v>
      </c>
      <c r="B619" s="10" t="s">
        <v>211</v>
      </c>
      <c r="C619" s="96" t="s">
        <v>1936</v>
      </c>
      <c r="D619" s="12" t="s">
        <v>1937</v>
      </c>
      <c r="E619" s="14"/>
      <c r="F619" s="14"/>
      <c r="G619" s="13" t="s">
        <v>16</v>
      </c>
      <c r="H619" s="26"/>
      <c r="I619" s="24">
        <v>658</v>
      </c>
      <c r="J619" s="16" t="s">
        <v>1720</v>
      </c>
    </row>
    <row r="620" ht="42.75" spans="1:10">
      <c r="A620" s="10">
        <v>618</v>
      </c>
      <c r="B620" s="10" t="s">
        <v>211</v>
      </c>
      <c r="C620" s="96" t="s">
        <v>1938</v>
      </c>
      <c r="D620" s="12" t="s">
        <v>1939</v>
      </c>
      <c r="E620" s="12" t="s">
        <v>1940</v>
      </c>
      <c r="F620" s="12" t="s">
        <v>1933</v>
      </c>
      <c r="G620" s="13" t="s">
        <v>16</v>
      </c>
      <c r="H620" s="14"/>
      <c r="I620" s="24">
        <v>2759</v>
      </c>
      <c r="J620" s="16" t="s">
        <v>1720</v>
      </c>
    </row>
    <row r="621" ht="30" spans="1:10">
      <c r="A621" s="10">
        <v>619</v>
      </c>
      <c r="B621" s="10" t="s">
        <v>211</v>
      </c>
      <c r="C621" s="96" t="s">
        <v>1941</v>
      </c>
      <c r="D621" s="12" t="s">
        <v>1942</v>
      </c>
      <c r="E621" s="14"/>
      <c r="F621" s="14"/>
      <c r="G621" s="13" t="s">
        <v>16</v>
      </c>
      <c r="H621" s="14"/>
      <c r="I621" s="73">
        <f>2759*0.3</f>
        <v>827.7</v>
      </c>
      <c r="J621" s="16" t="s">
        <v>1720</v>
      </c>
    </row>
    <row r="622" ht="57" spans="1:10">
      <c r="A622" s="10">
        <v>620</v>
      </c>
      <c r="B622" s="10" t="s">
        <v>211</v>
      </c>
      <c r="C622" s="96" t="s">
        <v>1943</v>
      </c>
      <c r="D622" s="12" t="s">
        <v>1944</v>
      </c>
      <c r="E622" s="12" t="s">
        <v>1945</v>
      </c>
      <c r="F622" s="12" t="s">
        <v>1946</v>
      </c>
      <c r="G622" s="13" t="s">
        <v>16</v>
      </c>
      <c r="H622" s="12" t="s">
        <v>1947</v>
      </c>
      <c r="I622" s="24">
        <v>5969.6</v>
      </c>
      <c r="J622" s="16" t="s">
        <v>1720</v>
      </c>
    </row>
    <row r="623" ht="30" spans="1:10">
      <c r="A623" s="10">
        <v>621</v>
      </c>
      <c r="B623" s="10" t="s">
        <v>211</v>
      </c>
      <c r="C623" s="96" t="s">
        <v>1948</v>
      </c>
      <c r="D623" s="12" t="s">
        <v>1949</v>
      </c>
      <c r="E623" s="14"/>
      <c r="F623" s="14"/>
      <c r="G623" s="13" t="s">
        <v>16</v>
      </c>
      <c r="H623" s="14"/>
      <c r="I623" s="24">
        <v>1194</v>
      </c>
      <c r="J623" s="16" t="s">
        <v>1720</v>
      </c>
    </row>
    <row r="624" ht="30" spans="1:10">
      <c r="A624" s="10">
        <v>622</v>
      </c>
      <c r="B624" s="10" t="s">
        <v>211</v>
      </c>
      <c r="C624" s="96" t="s">
        <v>1950</v>
      </c>
      <c r="D624" s="12" t="s">
        <v>1951</v>
      </c>
      <c r="E624" s="14"/>
      <c r="F624" s="14"/>
      <c r="G624" s="13" t="s">
        <v>16</v>
      </c>
      <c r="H624" s="14"/>
      <c r="I624" s="73">
        <f>5970*0.3</f>
        <v>1791</v>
      </c>
      <c r="J624" s="16" t="s">
        <v>1720</v>
      </c>
    </row>
    <row r="625" ht="42.75" spans="1:10">
      <c r="A625" s="10">
        <v>623</v>
      </c>
      <c r="B625" s="10" t="s">
        <v>211</v>
      </c>
      <c r="C625" s="96" t="s">
        <v>1952</v>
      </c>
      <c r="D625" s="12" t="s">
        <v>1953</v>
      </c>
      <c r="E625" s="12" t="s">
        <v>1954</v>
      </c>
      <c r="F625" s="12" t="s">
        <v>1955</v>
      </c>
      <c r="G625" s="13" t="s">
        <v>16</v>
      </c>
      <c r="H625" s="14"/>
      <c r="I625" s="24">
        <v>1164.4</v>
      </c>
      <c r="J625" s="16" t="s">
        <v>1720</v>
      </c>
    </row>
    <row r="626" ht="30" spans="1:10">
      <c r="A626" s="10">
        <v>624</v>
      </c>
      <c r="B626" s="10" t="s">
        <v>211</v>
      </c>
      <c r="C626" s="96" t="s">
        <v>1956</v>
      </c>
      <c r="D626" s="12" t="s">
        <v>1957</v>
      </c>
      <c r="E626" s="14"/>
      <c r="F626" s="14"/>
      <c r="G626" s="13" t="s">
        <v>16</v>
      </c>
      <c r="H626" s="14"/>
      <c r="I626" s="73">
        <f>1164*0.3</f>
        <v>349.2</v>
      </c>
      <c r="J626" s="16" t="s">
        <v>1720</v>
      </c>
    </row>
    <row r="627" ht="42.75" spans="1:10">
      <c r="A627" s="10">
        <v>625</v>
      </c>
      <c r="B627" s="10" t="s">
        <v>211</v>
      </c>
      <c r="C627" s="96" t="s">
        <v>1958</v>
      </c>
      <c r="D627" s="12" t="s">
        <v>1959</v>
      </c>
      <c r="E627" s="12" t="s">
        <v>1960</v>
      </c>
      <c r="F627" s="12" t="s">
        <v>1904</v>
      </c>
      <c r="G627" s="13" t="s">
        <v>16</v>
      </c>
      <c r="H627" s="14"/>
      <c r="I627" s="24">
        <v>1005</v>
      </c>
      <c r="J627" s="16" t="s">
        <v>1720</v>
      </c>
    </row>
    <row r="628" ht="30" spans="1:10">
      <c r="A628" s="10">
        <v>626</v>
      </c>
      <c r="B628" s="10" t="s">
        <v>211</v>
      </c>
      <c r="C628" s="96" t="s">
        <v>1961</v>
      </c>
      <c r="D628" s="12" t="s">
        <v>1962</v>
      </c>
      <c r="E628" s="14"/>
      <c r="F628" s="14"/>
      <c r="G628" s="13" t="s">
        <v>16</v>
      </c>
      <c r="H628" s="14"/>
      <c r="I628" s="73">
        <f>1005*0.3</f>
        <v>301.5</v>
      </c>
      <c r="J628" s="16" t="s">
        <v>1720</v>
      </c>
    </row>
    <row r="629" ht="42.75" spans="1:10">
      <c r="A629" s="10">
        <v>627</v>
      </c>
      <c r="B629" s="10" t="s">
        <v>211</v>
      </c>
      <c r="C629" s="96" t="s">
        <v>1963</v>
      </c>
      <c r="D629" s="12" t="s">
        <v>1964</v>
      </c>
      <c r="E629" s="12" t="s">
        <v>1965</v>
      </c>
      <c r="F629" s="12" t="s">
        <v>1966</v>
      </c>
      <c r="G629" s="13" t="s">
        <v>16</v>
      </c>
      <c r="H629" s="14"/>
      <c r="I629" s="24">
        <v>1396.46</v>
      </c>
      <c r="J629" s="16" t="s">
        <v>1720</v>
      </c>
    </row>
    <row r="630" ht="30" spans="1:10">
      <c r="A630" s="10">
        <v>628</v>
      </c>
      <c r="B630" s="10" t="s">
        <v>211</v>
      </c>
      <c r="C630" s="96" t="s">
        <v>1967</v>
      </c>
      <c r="D630" s="12" t="s">
        <v>1968</v>
      </c>
      <c r="E630" s="14"/>
      <c r="F630" s="14"/>
      <c r="G630" s="13" t="s">
        <v>16</v>
      </c>
      <c r="H630" s="14"/>
      <c r="I630" s="73">
        <f>1396*0.3</f>
        <v>418.8</v>
      </c>
      <c r="J630" s="16" t="s">
        <v>1720</v>
      </c>
    </row>
    <row r="631" ht="42.75" spans="1:10">
      <c r="A631" s="10">
        <v>629</v>
      </c>
      <c r="B631" s="10" t="s">
        <v>211</v>
      </c>
      <c r="C631" s="96" t="s">
        <v>1969</v>
      </c>
      <c r="D631" s="12" t="s">
        <v>1970</v>
      </c>
      <c r="E631" s="12" t="s">
        <v>1971</v>
      </c>
      <c r="F631" s="12" t="s">
        <v>1972</v>
      </c>
      <c r="G631" s="13" t="s">
        <v>16</v>
      </c>
      <c r="H631" s="14"/>
      <c r="I631" s="24">
        <v>2200</v>
      </c>
      <c r="J631" s="16" t="s">
        <v>1720</v>
      </c>
    </row>
    <row r="632" ht="30" spans="1:10">
      <c r="A632" s="10">
        <v>630</v>
      </c>
      <c r="B632" s="10" t="s">
        <v>211</v>
      </c>
      <c r="C632" s="96" t="s">
        <v>1973</v>
      </c>
      <c r="D632" s="12" t="s">
        <v>1974</v>
      </c>
      <c r="E632" s="14"/>
      <c r="F632" s="14"/>
      <c r="G632" s="13" t="s">
        <v>16</v>
      </c>
      <c r="H632" s="14"/>
      <c r="I632" s="73">
        <f>2200*0.3</f>
        <v>660</v>
      </c>
      <c r="J632" s="16" t="s">
        <v>1720</v>
      </c>
    </row>
    <row r="633" ht="42.75" spans="1:10">
      <c r="A633" s="10">
        <v>631</v>
      </c>
      <c r="B633" s="10" t="s">
        <v>211</v>
      </c>
      <c r="C633" s="96" t="s">
        <v>1975</v>
      </c>
      <c r="D633" s="12" t="s">
        <v>1976</v>
      </c>
      <c r="E633" s="12" t="s">
        <v>1977</v>
      </c>
      <c r="F633" s="12" t="s">
        <v>1978</v>
      </c>
      <c r="G633" s="13" t="s">
        <v>16</v>
      </c>
      <c r="H633" s="14"/>
      <c r="I633" s="24">
        <v>223</v>
      </c>
      <c r="J633" s="16" t="s">
        <v>1720</v>
      </c>
    </row>
    <row r="634" ht="15.75" spans="1:10">
      <c r="A634" s="10">
        <v>632</v>
      </c>
      <c r="B634" s="10" t="s">
        <v>211</v>
      </c>
      <c r="C634" s="96" t="s">
        <v>1979</v>
      </c>
      <c r="D634" s="12" t="s">
        <v>1980</v>
      </c>
      <c r="E634" s="14"/>
      <c r="F634" s="14"/>
      <c r="G634" s="13" t="s">
        <v>16</v>
      </c>
      <c r="H634" s="14"/>
      <c r="I634" s="73">
        <f>223*0.3</f>
        <v>66.9</v>
      </c>
      <c r="J634" s="16" t="s">
        <v>1720</v>
      </c>
    </row>
    <row r="635" ht="42.75" spans="1:10">
      <c r="A635" s="10">
        <v>633</v>
      </c>
      <c r="B635" s="10" t="s">
        <v>211</v>
      </c>
      <c r="C635" s="96" t="s">
        <v>1981</v>
      </c>
      <c r="D635" s="12" t="s">
        <v>1982</v>
      </c>
      <c r="E635" s="12" t="s">
        <v>1983</v>
      </c>
      <c r="F635" s="12" t="s">
        <v>1984</v>
      </c>
      <c r="G635" s="13" t="s">
        <v>16</v>
      </c>
      <c r="H635" s="14"/>
      <c r="I635" s="24">
        <v>3377</v>
      </c>
      <c r="J635" s="16" t="s">
        <v>1720</v>
      </c>
    </row>
    <row r="636" ht="30" spans="1:10">
      <c r="A636" s="10">
        <v>634</v>
      </c>
      <c r="B636" s="10" t="s">
        <v>211</v>
      </c>
      <c r="C636" s="96" t="s">
        <v>1985</v>
      </c>
      <c r="D636" s="12" t="s">
        <v>1986</v>
      </c>
      <c r="E636" s="14"/>
      <c r="F636" s="14"/>
      <c r="G636" s="13" t="s">
        <v>16</v>
      </c>
      <c r="H636" s="14"/>
      <c r="I636" s="73">
        <f>3377*0.3</f>
        <v>1013.1</v>
      </c>
      <c r="J636" s="16" t="s">
        <v>1720</v>
      </c>
    </row>
    <row r="637" ht="44.25" spans="1:10">
      <c r="A637" s="10">
        <v>635</v>
      </c>
      <c r="B637" s="10" t="s">
        <v>211</v>
      </c>
      <c r="C637" s="96" t="s">
        <v>1987</v>
      </c>
      <c r="D637" s="12" t="s">
        <v>1988</v>
      </c>
      <c r="E637" s="12" t="s">
        <v>1989</v>
      </c>
      <c r="F637" s="12" t="s">
        <v>1984</v>
      </c>
      <c r="G637" s="13" t="s">
        <v>16</v>
      </c>
      <c r="H637" s="12" t="s">
        <v>1990</v>
      </c>
      <c r="I637" s="24">
        <v>4630</v>
      </c>
      <c r="J637" s="16" t="s">
        <v>1720</v>
      </c>
    </row>
    <row r="638" ht="30" spans="1:10">
      <c r="A638" s="10">
        <v>636</v>
      </c>
      <c r="B638" s="10" t="s">
        <v>211</v>
      </c>
      <c r="C638" s="96" t="s">
        <v>1991</v>
      </c>
      <c r="D638" s="12" t="s">
        <v>1992</v>
      </c>
      <c r="E638" s="14"/>
      <c r="F638" s="14"/>
      <c r="G638" s="13" t="s">
        <v>16</v>
      </c>
      <c r="H638" s="14"/>
      <c r="I638" s="73">
        <f>4630*0.3</f>
        <v>1389</v>
      </c>
      <c r="J638" s="16" t="s">
        <v>1720</v>
      </c>
    </row>
    <row r="639" ht="42.75" spans="1:10">
      <c r="A639" s="10">
        <v>637</v>
      </c>
      <c r="B639" s="10" t="s">
        <v>211</v>
      </c>
      <c r="C639" s="96" t="s">
        <v>1993</v>
      </c>
      <c r="D639" s="12" t="s">
        <v>1994</v>
      </c>
      <c r="E639" s="12" t="s">
        <v>1995</v>
      </c>
      <c r="F639" s="12" t="s">
        <v>1996</v>
      </c>
      <c r="G639" s="13" t="s">
        <v>16</v>
      </c>
      <c r="H639" s="14"/>
      <c r="I639" s="24">
        <v>2777.34</v>
      </c>
      <c r="J639" s="16" t="s">
        <v>1720</v>
      </c>
    </row>
    <row r="640" ht="30" spans="1:10">
      <c r="A640" s="10">
        <v>638</v>
      </c>
      <c r="B640" s="10" t="s">
        <v>211</v>
      </c>
      <c r="C640" s="96" t="s">
        <v>1997</v>
      </c>
      <c r="D640" s="12" t="s">
        <v>1998</v>
      </c>
      <c r="E640" s="14"/>
      <c r="F640" s="14"/>
      <c r="G640" s="13" t="s">
        <v>16</v>
      </c>
      <c r="H640" s="14"/>
      <c r="I640" s="24">
        <v>833</v>
      </c>
      <c r="J640" s="16" t="s">
        <v>1720</v>
      </c>
    </row>
    <row r="641" ht="30" spans="1:10">
      <c r="A641" s="10">
        <v>639</v>
      </c>
      <c r="B641" s="10" t="s">
        <v>211</v>
      </c>
      <c r="C641" s="96" t="s">
        <v>1999</v>
      </c>
      <c r="D641" s="12" t="s">
        <v>2000</v>
      </c>
      <c r="E641" s="14"/>
      <c r="F641" s="14"/>
      <c r="G641" s="13" t="s">
        <v>16</v>
      </c>
      <c r="H641" s="14"/>
      <c r="I641" s="24">
        <v>1388</v>
      </c>
      <c r="J641" s="16" t="s">
        <v>1720</v>
      </c>
    </row>
    <row r="642" ht="15.75" spans="1:10">
      <c r="A642" s="10">
        <v>640</v>
      </c>
      <c r="B642" s="10" t="s">
        <v>211</v>
      </c>
      <c r="C642" s="96" t="s">
        <v>2001</v>
      </c>
      <c r="D642" s="12" t="s">
        <v>2002</v>
      </c>
      <c r="E642" s="14"/>
      <c r="F642" s="14"/>
      <c r="G642" s="13" t="s">
        <v>16</v>
      </c>
      <c r="H642" s="14"/>
      <c r="I642" s="73">
        <f>2777*0.3</f>
        <v>833.1</v>
      </c>
      <c r="J642" s="16" t="s">
        <v>1720</v>
      </c>
    </row>
    <row r="643" ht="42.75" spans="1:10">
      <c r="A643" s="10">
        <v>641</v>
      </c>
      <c r="B643" s="10" t="s">
        <v>211</v>
      </c>
      <c r="C643" s="96" t="s">
        <v>2003</v>
      </c>
      <c r="D643" s="12" t="s">
        <v>2004</v>
      </c>
      <c r="E643" s="12" t="s">
        <v>2005</v>
      </c>
      <c r="F643" s="12" t="s">
        <v>2006</v>
      </c>
      <c r="G643" s="13" t="s">
        <v>16</v>
      </c>
      <c r="H643" s="14"/>
      <c r="I643" s="24">
        <v>3327.56</v>
      </c>
      <c r="J643" s="16" t="s">
        <v>1720</v>
      </c>
    </row>
    <row r="644" ht="30" spans="1:10">
      <c r="A644" s="10">
        <v>642</v>
      </c>
      <c r="B644" s="10" t="s">
        <v>211</v>
      </c>
      <c r="C644" s="96" t="s">
        <v>2007</v>
      </c>
      <c r="D644" s="12" t="s">
        <v>2008</v>
      </c>
      <c r="E644" s="14"/>
      <c r="F644" s="14"/>
      <c r="G644" s="13" t="s">
        <v>16</v>
      </c>
      <c r="H644" s="14"/>
      <c r="I644" s="73">
        <f>3328*0.3</f>
        <v>998.4</v>
      </c>
      <c r="J644" s="16" t="s">
        <v>1720</v>
      </c>
    </row>
    <row r="645" ht="87" spans="1:10">
      <c r="A645" s="10">
        <v>643</v>
      </c>
      <c r="B645" s="10" t="s">
        <v>211</v>
      </c>
      <c r="C645" s="96" t="s">
        <v>2009</v>
      </c>
      <c r="D645" s="12" t="s">
        <v>2010</v>
      </c>
      <c r="E645" s="12" t="s">
        <v>2011</v>
      </c>
      <c r="F645" s="12" t="s">
        <v>2006</v>
      </c>
      <c r="G645" s="13" t="s">
        <v>16</v>
      </c>
      <c r="H645" s="12" t="s">
        <v>2012</v>
      </c>
      <c r="I645" s="24">
        <v>4270.56</v>
      </c>
      <c r="J645" s="16" t="s">
        <v>1720</v>
      </c>
    </row>
    <row r="646" ht="30" spans="1:10">
      <c r="A646" s="10">
        <v>644</v>
      </c>
      <c r="B646" s="10" t="s">
        <v>211</v>
      </c>
      <c r="C646" s="96" t="s">
        <v>2013</v>
      </c>
      <c r="D646" s="12" t="s">
        <v>2014</v>
      </c>
      <c r="E646" s="14"/>
      <c r="F646" s="14"/>
      <c r="G646" s="13" t="s">
        <v>16</v>
      </c>
      <c r="H646" s="14"/>
      <c r="I646" s="73">
        <f>4271*0.3</f>
        <v>1281.3</v>
      </c>
      <c r="J646" s="16" t="s">
        <v>1720</v>
      </c>
    </row>
    <row r="647" ht="42.75" spans="1:10">
      <c r="A647" s="10">
        <v>645</v>
      </c>
      <c r="B647" s="10" t="s">
        <v>211</v>
      </c>
      <c r="C647" s="96" t="s">
        <v>2015</v>
      </c>
      <c r="D647" s="12" t="s">
        <v>2016</v>
      </c>
      <c r="E647" s="12" t="s">
        <v>2017</v>
      </c>
      <c r="F647" s="12" t="s">
        <v>2018</v>
      </c>
      <c r="G647" s="13" t="s">
        <v>16</v>
      </c>
      <c r="H647" s="12" t="s">
        <v>2019</v>
      </c>
      <c r="I647" s="24">
        <v>4394</v>
      </c>
      <c r="J647" s="16" t="s">
        <v>1720</v>
      </c>
    </row>
    <row r="648" ht="30" spans="1:10">
      <c r="A648" s="10">
        <v>646</v>
      </c>
      <c r="B648" s="10" t="s">
        <v>211</v>
      </c>
      <c r="C648" s="96" t="s">
        <v>2020</v>
      </c>
      <c r="D648" s="12" t="s">
        <v>2021</v>
      </c>
      <c r="E648" s="14"/>
      <c r="F648" s="14"/>
      <c r="G648" s="13" t="s">
        <v>16</v>
      </c>
      <c r="H648" s="14"/>
      <c r="I648" s="73">
        <f>4394*0.3</f>
        <v>1318.2</v>
      </c>
      <c r="J648" s="16" t="s">
        <v>1720</v>
      </c>
    </row>
    <row r="649" ht="42.75" spans="1:10">
      <c r="A649" s="10">
        <v>647</v>
      </c>
      <c r="B649" s="10" t="s">
        <v>211</v>
      </c>
      <c r="C649" s="96" t="s">
        <v>2022</v>
      </c>
      <c r="D649" s="12" t="s">
        <v>2023</v>
      </c>
      <c r="E649" s="12" t="s">
        <v>2024</v>
      </c>
      <c r="F649" s="12" t="s">
        <v>2025</v>
      </c>
      <c r="G649" s="13" t="s">
        <v>16</v>
      </c>
      <c r="H649" s="12" t="s">
        <v>2019</v>
      </c>
      <c r="I649" s="24">
        <v>2197</v>
      </c>
      <c r="J649" s="16" t="s">
        <v>1720</v>
      </c>
    </row>
    <row r="650" ht="30" spans="1:10">
      <c r="A650" s="10">
        <v>648</v>
      </c>
      <c r="B650" s="10" t="s">
        <v>211</v>
      </c>
      <c r="C650" s="96" t="s">
        <v>2026</v>
      </c>
      <c r="D650" s="12" t="s">
        <v>2027</v>
      </c>
      <c r="E650" s="14"/>
      <c r="F650" s="14"/>
      <c r="G650" s="13" t="s">
        <v>16</v>
      </c>
      <c r="H650" s="14"/>
      <c r="I650" s="73">
        <f>2197*0.3</f>
        <v>659.1</v>
      </c>
      <c r="J650" s="16" t="s">
        <v>1720</v>
      </c>
    </row>
    <row r="651" ht="61.5" spans="1:10">
      <c r="A651" s="10">
        <v>649</v>
      </c>
      <c r="B651" s="10" t="s">
        <v>211</v>
      </c>
      <c r="C651" s="96" t="s">
        <v>2028</v>
      </c>
      <c r="D651" s="12" t="s">
        <v>2029</v>
      </c>
      <c r="E651" s="12" t="s">
        <v>2030</v>
      </c>
      <c r="F651" s="12" t="s">
        <v>2018</v>
      </c>
      <c r="G651" s="13" t="s">
        <v>16</v>
      </c>
      <c r="H651" s="12" t="s">
        <v>2031</v>
      </c>
      <c r="I651" s="24">
        <v>5273</v>
      </c>
      <c r="J651" s="16" t="s">
        <v>1720</v>
      </c>
    </row>
    <row r="652" ht="30" spans="1:10">
      <c r="A652" s="10">
        <v>650</v>
      </c>
      <c r="B652" s="10" t="s">
        <v>211</v>
      </c>
      <c r="C652" s="96" t="s">
        <v>2032</v>
      </c>
      <c r="D652" s="12" t="s">
        <v>2033</v>
      </c>
      <c r="E652" s="14"/>
      <c r="F652" s="14"/>
      <c r="G652" s="13" t="s">
        <v>16</v>
      </c>
      <c r="H652" s="14"/>
      <c r="I652" s="73">
        <f>5273*0.3</f>
        <v>1581.9</v>
      </c>
      <c r="J652" s="16" t="s">
        <v>1720</v>
      </c>
    </row>
    <row r="653" ht="42.75" spans="1:10">
      <c r="A653" s="10">
        <v>651</v>
      </c>
      <c r="B653" s="10" t="s">
        <v>211</v>
      </c>
      <c r="C653" s="96" t="s">
        <v>2034</v>
      </c>
      <c r="D653" s="12" t="s">
        <v>2035</v>
      </c>
      <c r="E653" s="12" t="s">
        <v>2036</v>
      </c>
      <c r="F653" s="12" t="s">
        <v>2037</v>
      </c>
      <c r="G653" s="13" t="s">
        <v>369</v>
      </c>
      <c r="H653" s="14"/>
      <c r="I653" s="24">
        <v>3187.34</v>
      </c>
      <c r="J653" s="16" t="s">
        <v>1720</v>
      </c>
    </row>
    <row r="654" ht="15.75" spans="1:10">
      <c r="A654" s="10">
        <v>652</v>
      </c>
      <c r="B654" s="10" t="s">
        <v>211</v>
      </c>
      <c r="C654" s="96" t="s">
        <v>2038</v>
      </c>
      <c r="D654" s="12" t="s">
        <v>2039</v>
      </c>
      <c r="E654" s="14"/>
      <c r="F654" s="14"/>
      <c r="G654" s="13" t="s">
        <v>369</v>
      </c>
      <c r="H654" s="14"/>
      <c r="I654" s="73">
        <f>3187*0.3</f>
        <v>956.1</v>
      </c>
      <c r="J654" s="16" t="s">
        <v>1720</v>
      </c>
    </row>
    <row r="655" ht="30" spans="1:10">
      <c r="A655" s="10">
        <v>653</v>
      </c>
      <c r="B655" s="10" t="s">
        <v>211</v>
      </c>
      <c r="C655" s="96" t="s">
        <v>2040</v>
      </c>
      <c r="D655" s="12" t="s">
        <v>2041</v>
      </c>
      <c r="E655" s="14"/>
      <c r="F655" s="14"/>
      <c r="G655" s="13" t="s">
        <v>369</v>
      </c>
      <c r="H655" s="14"/>
      <c r="I655" s="24">
        <v>3187.34</v>
      </c>
      <c r="J655" s="16" t="s">
        <v>1720</v>
      </c>
    </row>
    <row r="656" ht="44.25" spans="1:10">
      <c r="A656" s="10">
        <v>654</v>
      </c>
      <c r="B656" s="10" t="s">
        <v>211</v>
      </c>
      <c r="C656" s="96" t="s">
        <v>2042</v>
      </c>
      <c r="D656" s="12" t="s">
        <v>2043</v>
      </c>
      <c r="E656" s="12" t="s">
        <v>2044</v>
      </c>
      <c r="F656" s="12" t="s">
        <v>2045</v>
      </c>
      <c r="G656" s="13" t="s">
        <v>369</v>
      </c>
      <c r="H656" s="12" t="s">
        <v>2046</v>
      </c>
      <c r="I656" s="24">
        <v>1385.8</v>
      </c>
      <c r="J656" s="16" t="s">
        <v>1720</v>
      </c>
    </row>
    <row r="657" ht="44.25" spans="1:10">
      <c r="A657" s="10">
        <v>655</v>
      </c>
      <c r="B657" s="10" t="s">
        <v>211</v>
      </c>
      <c r="C657" s="96" t="s">
        <v>2047</v>
      </c>
      <c r="D657" s="12" t="s">
        <v>2048</v>
      </c>
      <c r="E657" s="14"/>
      <c r="F657" s="14"/>
      <c r="G657" s="13" t="s">
        <v>369</v>
      </c>
      <c r="H657" s="12" t="s">
        <v>2046</v>
      </c>
      <c r="I657" s="24">
        <v>1385.8</v>
      </c>
      <c r="J657" s="16" t="s">
        <v>1720</v>
      </c>
    </row>
    <row r="658" ht="15.75" spans="1:10">
      <c r="A658" s="10">
        <v>656</v>
      </c>
      <c r="B658" s="10" t="s">
        <v>211</v>
      </c>
      <c r="C658" s="96" t="s">
        <v>2049</v>
      </c>
      <c r="D658" s="12" t="s">
        <v>2050</v>
      </c>
      <c r="E658" s="14"/>
      <c r="F658" s="14"/>
      <c r="G658" s="13" t="s">
        <v>369</v>
      </c>
      <c r="H658" s="14"/>
      <c r="I658" s="73">
        <f>1386*0.3</f>
        <v>415.8</v>
      </c>
      <c r="J658" s="16" t="s">
        <v>1720</v>
      </c>
    </row>
    <row r="659" ht="42.75" spans="1:10">
      <c r="A659" s="10">
        <v>657</v>
      </c>
      <c r="B659" s="10" t="s">
        <v>211</v>
      </c>
      <c r="C659" s="96" t="s">
        <v>2051</v>
      </c>
      <c r="D659" s="12" t="s">
        <v>2052</v>
      </c>
      <c r="E659" s="12" t="s">
        <v>2053</v>
      </c>
      <c r="F659" s="12" t="s">
        <v>2054</v>
      </c>
      <c r="G659" s="13" t="s">
        <v>369</v>
      </c>
      <c r="H659" s="14"/>
      <c r="I659" s="24">
        <v>1304.62</v>
      </c>
      <c r="J659" s="16" t="s">
        <v>1720</v>
      </c>
    </row>
    <row r="660" ht="30" spans="1:10">
      <c r="A660" s="10">
        <v>658</v>
      </c>
      <c r="B660" s="10" t="s">
        <v>211</v>
      </c>
      <c r="C660" s="96" t="s">
        <v>2055</v>
      </c>
      <c r="D660" s="12" t="s">
        <v>2056</v>
      </c>
      <c r="E660" s="14"/>
      <c r="F660" s="14"/>
      <c r="G660" s="13" t="s">
        <v>369</v>
      </c>
      <c r="H660" s="14"/>
      <c r="I660" s="24">
        <v>1678</v>
      </c>
      <c r="J660" s="16" t="s">
        <v>1720</v>
      </c>
    </row>
    <row r="661" ht="15.75" spans="1:10">
      <c r="A661" s="10">
        <v>659</v>
      </c>
      <c r="B661" s="10" t="s">
        <v>211</v>
      </c>
      <c r="C661" s="96" t="s">
        <v>2057</v>
      </c>
      <c r="D661" s="12" t="s">
        <v>2058</v>
      </c>
      <c r="E661" s="14"/>
      <c r="F661" s="14"/>
      <c r="G661" s="13" t="s">
        <v>369</v>
      </c>
      <c r="H661" s="14"/>
      <c r="I661" s="73">
        <f>1305*0.3</f>
        <v>391.5</v>
      </c>
      <c r="J661" s="16" t="s">
        <v>1720</v>
      </c>
    </row>
    <row r="662" ht="30" spans="1:10">
      <c r="A662" s="10">
        <v>660</v>
      </c>
      <c r="B662" s="10" t="s">
        <v>211</v>
      </c>
      <c r="C662" s="96" t="s">
        <v>2059</v>
      </c>
      <c r="D662" s="12" t="s">
        <v>2060</v>
      </c>
      <c r="E662" s="14"/>
      <c r="F662" s="14"/>
      <c r="G662" s="13" t="s">
        <v>369</v>
      </c>
      <c r="H662" s="14"/>
      <c r="I662" s="24">
        <v>1304.62</v>
      </c>
      <c r="J662" s="16" t="s">
        <v>1720</v>
      </c>
    </row>
    <row r="663" ht="42.75" spans="1:10">
      <c r="A663" s="10">
        <v>661</v>
      </c>
      <c r="B663" s="10" t="s">
        <v>211</v>
      </c>
      <c r="C663" s="96" t="s">
        <v>2061</v>
      </c>
      <c r="D663" s="12" t="s">
        <v>2062</v>
      </c>
      <c r="E663" s="12" t="s">
        <v>2063</v>
      </c>
      <c r="F663" s="12" t="s">
        <v>2064</v>
      </c>
      <c r="G663" s="13" t="s">
        <v>369</v>
      </c>
      <c r="H663" s="12" t="s">
        <v>2065</v>
      </c>
      <c r="I663" s="24">
        <v>1472.72</v>
      </c>
      <c r="J663" s="16" t="s">
        <v>1720</v>
      </c>
    </row>
    <row r="664" ht="30" spans="1:10">
      <c r="A664" s="10">
        <v>662</v>
      </c>
      <c r="B664" s="10" t="s">
        <v>211</v>
      </c>
      <c r="C664" s="96" t="s">
        <v>2066</v>
      </c>
      <c r="D664" s="12" t="s">
        <v>2067</v>
      </c>
      <c r="E664" s="14"/>
      <c r="F664" s="14"/>
      <c r="G664" s="13" t="s">
        <v>369</v>
      </c>
      <c r="H664" s="14"/>
      <c r="I664" s="73">
        <f>1473*0.3</f>
        <v>441.9</v>
      </c>
      <c r="J664" s="16" t="s">
        <v>1720</v>
      </c>
    </row>
    <row r="665" ht="42.75" spans="1:10">
      <c r="A665" s="10">
        <v>663</v>
      </c>
      <c r="B665" s="10" t="s">
        <v>211</v>
      </c>
      <c r="C665" s="96" t="s">
        <v>2068</v>
      </c>
      <c r="D665" s="12" t="s">
        <v>2069</v>
      </c>
      <c r="E665" s="12" t="s">
        <v>2070</v>
      </c>
      <c r="F665" s="12" t="s">
        <v>2071</v>
      </c>
      <c r="G665" s="13" t="s">
        <v>369</v>
      </c>
      <c r="H665" s="14"/>
      <c r="I665" s="24">
        <v>1662.96</v>
      </c>
      <c r="J665" s="16" t="s">
        <v>1720</v>
      </c>
    </row>
    <row r="666" ht="15.75" spans="1:10">
      <c r="A666" s="10">
        <v>664</v>
      </c>
      <c r="B666" s="10" t="s">
        <v>211</v>
      </c>
      <c r="C666" s="96" t="s">
        <v>2072</v>
      </c>
      <c r="D666" s="12" t="s">
        <v>2073</v>
      </c>
      <c r="E666" s="14"/>
      <c r="F666" s="14"/>
      <c r="G666" s="13" t="s">
        <v>369</v>
      </c>
      <c r="H666" s="14"/>
      <c r="I666" s="73">
        <f>1663*0.3</f>
        <v>498.9</v>
      </c>
      <c r="J666" s="16" t="s">
        <v>1720</v>
      </c>
    </row>
    <row r="667" ht="42.75" spans="1:10">
      <c r="A667" s="10">
        <v>665</v>
      </c>
      <c r="B667" s="10" t="s">
        <v>211</v>
      </c>
      <c r="C667" s="96" t="s">
        <v>2074</v>
      </c>
      <c r="D667" s="12" t="s">
        <v>2075</v>
      </c>
      <c r="E667" s="12" t="s">
        <v>2076</v>
      </c>
      <c r="F667" s="12" t="s">
        <v>2077</v>
      </c>
      <c r="G667" s="13" t="s">
        <v>369</v>
      </c>
      <c r="H667" s="14"/>
      <c r="I667" s="24">
        <v>1524.38</v>
      </c>
      <c r="J667" s="16" t="s">
        <v>1720</v>
      </c>
    </row>
    <row r="668" ht="30" spans="1:10">
      <c r="A668" s="10">
        <v>666</v>
      </c>
      <c r="B668" s="10" t="s">
        <v>211</v>
      </c>
      <c r="C668" s="96" t="s">
        <v>2078</v>
      </c>
      <c r="D668" s="12" t="s">
        <v>2079</v>
      </c>
      <c r="E668" s="14"/>
      <c r="F668" s="14"/>
      <c r="G668" s="13" t="s">
        <v>369</v>
      </c>
      <c r="H668" s="14"/>
      <c r="I668" s="73">
        <f>1524*0.3</f>
        <v>457.2</v>
      </c>
      <c r="J668" s="16" t="s">
        <v>1720</v>
      </c>
    </row>
    <row r="669" ht="28.5" spans="1:10">
      <c r="A669" s="10">
        <v>667</v>
      </c>
      <c r="B669" s="10" t="s">
        <v>211</v>
      </c>
      <c r="C669" s="96" t="s">
        <v>2080</v>
      </c>
      <c r="D669" s="12" t="s">
        <v>2081</v>
      </c>
      <c r="E669" s="12" t="s">
        <v>2082</v>
      </c>
      <c r="F669" s="12" t="s">
        <v>2083</v>
      </c>
      <c r="G669" s="13" t="s">
        <v>16</v>
      </c>
      <c r="H669" s="14"/>
      <c r="I669" s="24">
        <v>80</v>
      </c>
      <c r="J669" s="16" t="s">
        <v>1720</v>
      </c>
    </row>
    <row r="670" ht="30" spans="1:10">
      <c r="A670" s="10">
        <v>668</v>
      </c>
      <c r="B670" s="10" t="s">
        <v>211</v>
      </c>
      <c r="C670" s="96" t="s">
        <v>2084</v>
      </c>
      <c r="D670" s="12" t="s">
        <v>2085</v>
      </c>
      <c r="E670" s="14"/>
      <c r="F670" s="14"/>
      <c r="G670" s="13" t="s">
        <v>16</v>
      </c>
      <c r="H670" s="14"/>
      <c r="I670" s="73">
        <f>80*0.3</f>
        <v>24</v>
      </c>
      <c r="J670" s="16" t="s">
        <v>1720</v>
      </c>
    </row>
    <row r="671" ht="42.75" spans="1:10">
      <c r="A671" s="10">
        <v>669</v>
      </c>
      <c r="B671" s="10" t="s">
        <v>211</v>
      </c>
      <c r="C671" s="96" t="s">
        <v>2086</v>
      </c>
      <c r="D671" s="12" t="s">
        <v>2087</v>
      </c>
      <c r="E671" s="12" t="s">
        <v>2088</v>
      </c>
      <c r="F671" s="12" t="s">
        <v>2089</v>
      </c>
      <c r="G671" s="13" t="s">
        <v>369</v>
      </c>
      <c r="H671" s="14"/>
      <c r="I671" s="24">
        <v>316.52</v>
      </c>
      <c r="J671" s="16" t="s">
        <v>1720</v>
      </c>
    </row>
    <row r="672" ht="30" spans="1:10">
      <c r="A672" s="10">
        <v>670</v>
      </c>
      <c r="B672" s="10" t="s">
        <v>211</v>
      </c>
      <c r="C672" s="96" t="s">
        <v>2090</v>
      </c>
      <c r="D672" s="12" t="s">
        <v>2091</v>
      </c>
      <c r="E672" s="14"/>
      <c r="F672" s="14"/>
      <c r="G672" s="13" t="s">
        <v>369</v>
      </c>
      <c r="H672" s="14"/>
      <c r="I672" s="73">
        <f>317*0.3</f>
        <v>95.1</v>
      </c>
      <c r="J672" s="16" t="s">
        <v>1720</v>
      </c>
    </row>
    <row r="673" ht="57" spans="1:10">
      <c r="A673" s="10">
        <v>671</v>
      </c>
      <c r="B673" s="10" t="s">
        <v>211</v>
      </c>
      <c r="C673" s="96" t="s">
        <v>2092</v>
      </c>
      <c r="D673" s="12" t="s">
        <v>2093</v>
      </c>
      <c r="E673" s="12" t="s">
        <v>2094</v>
      </c>
      <c r="F673" s="12" t="s">
        <v>2095</v>
      </c>
      <c r="G673" s="13" t="s">
        <v>369</v>
      </c>
      <c r="H673" s="14"/>
      <c r="I673" s="24">
        <v>1538.32</v>
      </c>
      <c r="J673" s="16" t="s">
        <v>1720</v>
      </c>
    </row>
    <row r="674" ht="30" spans="1:10">
      <c r="A674" s="10">
        <v>672</v>
      </c>
      <c r="B674" s="10" t="s">
        <v>211</v>
      </c>
      <c r="C674" s="96" t="s">
        <v>2096</v>
      </c>
      <c r="D674" s="12" t="s">
        <v>2097</v>
      </c>
      <c r="E674" s="14"/>
      <c r="F674" s="14"/>
      <c r="G674" s="13" t="s">
        <v>369</v>
      </c>
      <c r="H674" s="14"/>
      <c r="I674" s="24">
        <v>1077</v>
      </c>
      <c r="J674" s="16" t="s">
        <v>1720</v>
      </c>
    </row>
    <row r="675" ht="30" spans="1:10">
      <c r="A675" s="10">
        <v>673</v>
      </c>
      <c r="B675" s="10" t="s">
        <v>211</v>
      </c>
      <c r="C675" s="96" t="s">
        <v>2098</v>
      </c>
      <c r="D675" s="12" t="s">
        <v>2099</v>
      </c>
      <c r="E675" s="14"/>
      <c r="F675" s="14"/>
      <c r="G675" s="13" t="s">
        <v>369</v>
      </c>
      <c r="H675" s="14"/>
      <c r="I675" s="73">
        <f>1538*0.3</f>
        <v>461.4</v>
      </c>
      <c r="J675" s="16" t="s">
        <v>1720</v>
      </c>
    </row>
    <row r="676" ht="42.75" spans="1:10">
      <c r="A676" s="10">
        <v>674</v>
      </c>
      <c r="B676" s="10" t="s">
        <v>211</v>
      </c>
      <c r="C676" s="96" t="s">
        <v>2100</v>
      </c>
      <c r="D676" s="12" t="s">
        <v>2101</v>
      </c>
      <c r="E676" s="12" t="s">
        <v>2102</v>
      </c>
      <c r="F676" s="12" t="s">
        <v>2103</v>
      </c>
      <c r="G676" s="13" t="s">
        <v>16</v>
      </c>
      <c r="H676" s="14"/>
      <c r="I676" s="24">
        <v>1352</v>
      </c>
      <c r="J676" s="16" t="s">
        <v>1720</v>
      </c>
    </row>
    <row r="677" ht="30" spans="1:10">
      <c r="A677" s="10">
        <v>675</v>
      </c>
      <c r="B677" s="10" t="s">
        <v>211</v>
      </c>
      <c r="C677" s="96" t="s">
        <v>2104</v>
      </c>
      <c r="D677" s="12" t="s">
        <v>2105</v>
      </c>
      <c r="E677" s="14"/>
      <c r="F677" s="14"/>
      <c r="G677" s="13" t="s">
        <v>16</v>
      </c>
      <c r="H677" s="14"/>
      <c r="I677" s="73">
        <f>1352*0.3</f>
        <v>405.6</v>
      </c>
      <c r="J677" s="16" t="s">
        <v>1720</v>
      </c>
    </row>
    <row r="678" ht="42.75" spans="1:10">
      <c r="A678" s="10">
        <v>676</v>
      </c>
      <c r="B678" s="10" t="s">
        <v>211</v>
      </c>
      <c r="C678" s="96" t="s">
        <v>2106</v>
      </c>
      <c r="D678" s="12" t="s">
        <v>2107</v>
      </c>
      <c r="E678" s="12" t="s">
        <v>2108</v>
      </c>
      <c r="F678" s="12" t="s">
        <v>2109</v>
      </c>
      <c r="G678" s="13" t="s">
        <v>16</v>
      </c>
      <c r="H678" s="14"/>
      <c r="I678" s="24">
        <v>420</v>
      </c>
      <c r="J678" s="16" t="s">
        <v>1720</v>
      </c>
    </row>
    <row r="679" ht="15.75" spans="1:10">
      <c r="A679" s="10">
        <v>677</v>
      </c>
      <c r="B679" s="10" t="s">
        <v>211</v>
      </c>
      <c r="C679" s="96" t="s">
        <v>2110</v>
      </c>
      <c r="D679" s="12" t="s">
        <v>2111</v>
      </c>
      <c r="E679" s="14"/>
      <c r="F679" s="14"/>
      <c r="G679" s="13" t="s">
        <v>16</v>
      </c>
      <c r="H679" s="14"/>
      <c r="I679" s="73">
        <f>420*0.3</f>
        <v>126</v>
      </c>
      <c r="J679" s="16" t="s">
        <v>1720</v>
      </c>
    </row>
    <row r="680" ht="42.75" spans="1:10">
      <c r="A680" s="10">
        <v>678</v>
      </c>
      <c r="B680" s="10" t="s">
        <v>211</v>
      </c>
      <c r="C680" s="96" t="s">
        <v>2112</v>
      </c>
      <c r="D680" s="12" t="s">
        <v>2113</v>
      </c>
      <c r="E680" s="12" t="s">
        <v>2114</v>
      </c>
      <c r="F680" s="12" t="s">
        <v>2115</v>
      </c>
      <c r="G680" s="13" t="s">
        <v>16</v>
      </c>
      <c r="H680" s="14"/>
      <c r="I680" s="24">
        <v>2771.6</v>
      </c>
      <c r="J680" s="16" t="s">
        <v>1720</v>
      </c>
    </row>
    <row r="681" ht="30" spans="1:10">
      <c r="A681" s="10">
        <v>679</v>
      </c>
      <c r="B681" s="10" t="s">
        <v>211</v>
      </c>
      <c r="C681" s="96" t="s">
        <v>2116</v>
      </c>
      <c r="D681" s="12" t="s">
        <v>2117</v>
      </c>
      <c r="E681" s="14"/>
      <c r="F681" s="14"/>
      <c r="G681" s="13" t="s">
        <v>16</v>
      </c>
      <c r="H681" s="14"/>
      <c r="I681" s="24">
        <v>831</v>
      </c>
      <c r="J681" s="16" t="s">
        <v>1720</v>
      </c>
    </row>
    <row r="682" ht="30" spans="1:10">
      <c r="A682" s="10">
        <v>680</v>
      </c>
      <c r="B682" s="10" t="s">
        <v>211</v>
      </c>
      <c r="C682" s="96" t="s">
        <v>2118</v>
      </c>
      <c r="D682" s="12" t="s">
        <v>2119</v>
      </c>
      <c r="E682" s="14"/>
      <c r="F682" s="14"/>
      <c r="G682" s="13" t="s">
        <v>16</v>
      </c>
      <c r="H682" s="14"/>
      <c r="I682" s="73">
        <f>2772*0.3</f>
        <v>831.6</v>
      </c>
      <c r="J682" s="16" t="s">
        <v>1720</v>
      </c>
    </row>
    <row r="683" ht="42.75" spans="1:10">
      <c r="A683" s="10">
        <v>681</v>
      </c>
      <c r="B683" s="10" t="s">
        <v>211</v>
      </c>
      <c r="C683" s="96" t="s">
        <v>2120</v>
      </c>
      <c r="D683" s="12" t="s">
        <v>2121</v>
      </c>
      <c r="E683" s="12" t="s">
        <v>2122</v>
      </c>
      <c r="F683" s="12" t="s">
        <v>2123</v>
      </c>
      <c r="G683" s="13" t="s">
        <v>369</v>
      </c>
      <c r="H683" s="14"/>
      <c r="I683" s="24">
        <v>2070</v>
      </c>
      <c r="J683" s="16" t="s">
        <v>1720</v>
      </c>
    </row>
    <row r="684" ht="30" spans="1:10">
      <c r="A684" s="10">
        <v>682</v>
      </c>
      <c r="B684" s="10" t="s">
        <v>211</v>
      </c>
      <c r="C684" s="96" t="s">
        <v>2124</v>
      </c>
      <c r="D684" s="12" t="s">
        <v>2125</v>
      </c>
      <c r="E684" s="14"/>
      <c r="F684" s="14"/>
      <c r="G684" s="13" t="s">
        <v>369</v>
      </c>
      <c r="H684" s="14"/>
      <c r="I684" s="73">
        <f>2070*0.3</f>
        <v>621</v>
      </c>
      <c r="J684" s="16" t="s">
        <v>1720</v>
      </c>
    </row>
    <row r="685" ht="30" spans="1:10">
      <c r="A685" s="10">
        <v>683</v>
      </c>
      <c r="B685" s="10" t="s">
        <v>211</v>
      </c>
      <c r="C685" s="96" t="s">
        <v>2126</v>
      </c>
      <c r="D685" s="12" t="s">
        <v>2127</v>
      </c>
      <c r="E685" s="14"/>
      <c r="F685" s="14"/>
      <c r="G685" s="13" t="s">
        <v>369</v>
      </c>
      <c r="H685" s="14"/>
      <c r="I685" s="24">
        <v>2070</v>
      </c>
      <c r="J685" s="16" t="s">
        <v>1720</v>
      </c>
    </row>
    <row r="686" ht="42.75" spans="1:10">
      <c r="A686" s="10">
        <v>684</v>
      </c>
      <c r="B686" s="10" t="s">
        <v>211</v>
      </c>
      <c r="C686" s="96" t="s">
        <v>2128</v>
      </c>
      <c r="D686" s="12" t="s">
        <v>2129</v>
      </c>
      <c r="E686" s="12" t="s">
        <v>2130</v>
      </c>
      <c r="F686" s="12" t="s">
        <v>2131</v>
      </c>
      <c r="G686" s="13" t="s">
        <v>16</v>
      </c>
      <c r="H686" s="14"/>
      <c r="I686" s="24">
        <v>1385.8</v>
      </c>
      <c r="J686" s="16" t="s">
        <v>1720</v>
      </c>
    </row>
    <row r="687" ht="30" spans="1:10">
      <c r="A687" s="10">
        <v>685</v>
      </c>
      <c r="B687" s="10" t="s">
        <v>211</v>
      </c>
      <c r="C687" s="96" t="s">
        <v>2132</v>
      </c>
      <c r="D687" s="12" t="s">
        <v>2133</v>
      </c>
      <c r="E687" s="14"/>
      <c r="F687" s="14"/>
      <c r="G687" s="13" t="s">
        <v>16</v>
      </c>
      <c r="H687" s="14"/>
      <c r="I687" s="73">
        <f>1386*0.3</f>
        <v>415.8</v>
      </c>
      <c r="J687" s="16" t="s">
        <v>1720</v>
      </c>
    </row>
    <row r="688" ht="28.5" spans="1:10">
      <c r="A688" s="10">
        <v>686</v>
      </c>
      <c r="B688" s="10" t="s">
        <v>11</v>
      </c>
      <c r="C688" s="96" t="s">
        <v>2134</v>
      </c>
      <c r="D688" s="12" t="s">
        <v>2135</v>
      </c>
      <c r="E688" s="12" t="s">
        <v>2136</v>
      </c>
      <c r="F688" s="12" t="s">
        <v>2137</v>
      </c>
      <c r="G688" s="13" t="s">
        <v>16</v>
      </c>
      <c r="H688" s="14"/>
      <c r="I688" s="24">
        <v>19</v>
      </c>
      <c r="J688" s="16" t="s">
        <v>1720</v>
      </c>
    </row>
    <row r="689" ht="28.5" spans="1:10">
      <c r="A689" s="10">
        <v>687</v>
      </c>
      <c r="B689" s="10" t="s">
        <v>11</v>
      </c>
      <c r="C689" s="96" t="s">
        <v>2138</v>
      </c>
      <c r="D689" s="12" t="s">
        <v>2139</v>
      </c>
      <c r="E689" s="12" t="s">
        <v>2140</v>
      </c>
      <c r="F689" s="12" t="s">
        <v>2141</v>
      </c>
      <c r="G689" s="13" t="s">
        <v>16</v>
      </c>
      <c r="H689" s="14"/>
      <c r="I689" s="24">
        <v>27.88</v>
      </c>
      <c r="J689" s="16" t="s">
        <v>1720</v>
      </c>
    </row>
    <row r="690" ht="42.75" spans="1:10">
      <c r="A690" s="10">
        <v>688</v>
      </c>
      <c r="B690" s="10" t="s">
        <v>211</v>
      </c>
      <c r="C690" s="96" t="s">
        <v>2142</v>
      </c>
      <c r="D690" s="12" t="s">
        <v>2143</v>
      </c>
      <c r="E690" s="12" t="s">
        <v>2144</v>
      </c>
      <c r="F690" s="12" t="s">
        <v>2145</v>
      </c>
      <c r="G690" s="13" t="s">
        <v>16</v>
      </c>
      <c r="H690" s="14"/>
      <c r="I690" s="24">
        <v>3910</v>
      </c>
      <c r="J690" s="16" t="s">
        <v>1720</v>
      </c>
    </row>
    <row r="691" ht="30" spans="1:10">
      <c r="A691" s="10">
        <v>689</v>
      </c>
      <c r="B691" s="10" t="s">
        <v>211</v>
      </c>
      <c r="C691" s="96" t="s">
        <v>2146</v>
      </c>
      <c r="D691" s="12" t="s">
        <v>2147</v>
      </c>
      <c r="E691" s="14"/>
      <c r="F691" s="14"/>
      <c r="G691" s="13" t="s">
        <v>16</v>
      </c>
      <c r="H691" s="14"/>
      <c r="I691" s="73">
        <f>3910*0.3</f>
        <v>1173</v>
      </c>
      <c r="J691" s="16" t="s">
        <v>1720</v>
      </c>
    </row>
    <row r="692" ht="42.75" spans="1:10">
      <c r="A692" s="10">
        <v>690</v>
      </c>
      <c r="B692" s="10" t="s">
        <v>211</v>
      </c>
      <c r="C692" s="96" t="s">
        <v>2148</v>
      </c>
      <c r="D692" s="12" t="s">
        <v>2149</v>
      </c>
      <c r="E692" s="12" t="s">
        <v>2150</v>
      </c>
      <c r="F692" s="12" t="s">
        <v>2151</v>
      </c>
      <c r="G692" s="13" t="s">
        <v>16</v>
      </c>
      <c r="H692" s="14"/>
      <c r="I692" s="24">
        <v>4680</v>
      </c>
      <c r="J692" s="16" t="s">
        <v>1720</v>
      </c>
    </row>
    <row r="693" ht="30" spans="1:10">
      <c r="A693" s="10">
        <v>691</v>
      </c>
      <c r="B693" s="10" t="s">
        <v>211</v>
      </c>
      <c r="C693" s="96" t="s">
        <v>2152</v>
      </c>
      <c r="D693" s="12" t="s">
        <v>2153</v>
      </c>
      <c r="E693" s="14"/>
      <c r="F693" s="14"/>
      <c r="G693" s="13" t="s">
        <v>16</v>
      </c>
      <c r="H693" s="14"/>
      <c r="I693" s="24">
        <v>936</v>
      </c>
      <c r="J693" s="16" t="s">
        <v>1720</v>
      </c>
    </row>
    <row r="694" ht="30" spans="1:10">
      <c r="A694" s="10">
        <v>692</v>
      </c>
      <c r="B694" s="10" t="s">
        <v>211</v>
      </c>
      <c r="C694" s="96" t="s">
        <v>2154</v>
      </c>
      <c r="D694" s="12" t="s">
        <v>2155</v>
      </c>
      <c r="E694" s="14"/>
      <c r="F694" s="14"/>
      <c r="G694" s="13" t="s">
        <v>16</v>
      </c>
      <c r="H694" s="14"/>
      <c r="I694" s="73">
        <f>4680*0.3</f>
        <v>1404</v>
      </c>
      <c r="J694" s="16" t="s">
        <v>1720</v>
      </c>
    </row>
    <row r="695" ht="42.75" spans="1:10">
      <c r="A695" s="10">
        <v>693</v>
      </c>
      <c r="B695" s="10" t="s">
        <v>211</v>
      </c>
      <c r="C695" s="96" t="s">
        <v>2156</v>
      </c>
      <c r="D695" s="12" t="s">
        <v>2157</v>
      </c>
      <c r="E695" s="12" t="s">
        <v>2158</v>
      </c>
      <c r="F695" s="12" t="s">
        <v>2159</v>
      </c>
      <c r="G695" s="13" t="s">
        <v>16</v>
      </c>
      <c r="H695" s="14"/>
      <c r="I695" s="24">
        <v>1662.96</v>
      </c>
      <c r="J695" s="16" t="s">
        <v>1720</v>
      </c>
    </row>
    <row r="696" ht="30" spans="1:10">
      <c r="A696" s="10">
        <v>694</v>
      </c>
      <c r="B696" s="10" t="s">
        <v>211</v>
      </c>
      <c r="C696" s="96" t="s">
        <v>2160</v>
      </c>
      <c r="D696" s="12" t="s">
        <v>2161</v>
      </c>
      <c r="E696" s="14"/>
      <c r="F696" s="14"/>
      <c r="G696" s="13" t="s">
        <v>16</v>
      </c>
      <c r="H696" s="14"/>
      <c r="I696" s="24">
        <v>1109</v>
      </c>
      <c r="J696" s="16" t="s">
        <v>1720</v>
      </c>
    </row>
    <row r="697" ht="30" spans="1:10">
      <c r="A697" s="10">
        <v>695</v>
      </c>
      <c r="B697" s="10" t="s">
        <v>211</v>
      </c>
      <c r="C697" s="96" t="s">
        <v>2162</v>
      </c>
      <c r="D697" s="12" t="s">
        <v>2163</v>
      </c>
      <c r="E697" s="14"/>
      <c r="F697" s="14"/>
      <c r="G697" s="13" t="s">
        <v>16</v>
      </c>
      <c r="H697" s="14"/>
      <c r="I697" s="73">
        <f>1663*0.3</f>
        <v>498.9</v>
      </c>
      <c r="J697" s="16" t="s">
        <v>1720</v>
      </c>
    </row>
    <row r="698" ht="42.75" spans="1:10">
      <c r="A698" s="10">
        <v>696</v>
      </c>
      <c r="B698" s="10" t="s">
        <v>211</v>
      </c>
      <c r="C698" s="96" t="s">
        <v>2164</v>
      </c>
      <c r="D698" s="12" t="s">
        <v>2165</v>
      </c>
      <c r="E698" s="12" t="s">
        <v>2166</v>
      </c>
      <c r="F698" s="12" t="s">
        <v>2167</v>
      </c>
      <c r="G698" s="13" t="s">
        <v>16</v>
      </c>
      <c r="H698" s="14"/>
      <c r="I698" s="24">
        <v>1385.8</v>
      </c>
      <c r="J698" s="16" t="s">
        <v>1720</v>
      </c>
    </row>
    <row r="699" ht="30" spans="1:10">
      <c r="A699" s="10">
        <v>697</v>
      </c>
      <c r="B699" s="10" t="s">
        <v>211</v>
      </c>
      <c r="C699" s="96" t="s">
        <v>2168</v>
      </c>
      <c r="D699" s="12" t="s">
        <v>2169</v>
      </c>
      <c r="E699" s="14"/>
      <c r="F699" s="14"/>
      <c r="G699" s="13" t="s">
        <v>16</v>
      </c>
      <c r="H699" s="14"/>
      <c r="I699" s="24">
        <v>416</v>
      </c>
      <c r="J699" s="16" t="s">
        <v>1720</v>
      </c>
    </row>
    <row r="700" ht="30" spans="1:10">
      <c r="A700" s="10">
        <v>698</v>
      </c>
      <c r="B700" s="10" t="s">
        <v>211</v>
      </c>
      <c r="C700" s="96" t="s">
        <v>2170</v>
      </c>
      <c r="D700" s="12" t="s">
        <v>2171</v>
      </c>
      <c r="E700" s="14"/>
      <c r="F700" s="14"/>
      <c r="G700" s="13" t="s">
        <v>16</v>
      </c>
      <c r="H700" s="14"/>
      <c r="I700" s="73">
        <f>1386*0.3</f>
        <v>415.8</v>
      </c>
      <c r="J700" s="16" t="s">
        <v>1720</v>
      </c>
    </row>
    <row r="701" ht="42.75" spans="1:10">
      <c r="A701" s="10">
        <v>699</v>
      </c>
      <c r="B701" s="10" t="s">
        <v>211</v>
      </c>
      <c r="C701" s="96" t="s">
        <v>2172</v>
      </c>
      <c r="D701" s="12" t="s">
        <v>2173</v>
      </c>
      <c r="E701" s="12" t="s">
        <v>2174</v>
      </c>
      <c r="F701" s="12" t="s">
        <v>2175</v>
      </c>
      <c r="G701" s="13" t="s">
        <v>16</v>
      </c>
      <c r="H701" s="14"/>
      <c r="I701" s="24">
        <v>831.48</v>
      </c>
      <c r="J701" s="16" t="s">
        <v>1720</v>
      </c>
    </row>
    <row r="702" ht="30" spans="1:10">
      <c r="A702" s="10">
        <v>700</v>
      </c>
      <c r="B702" s="10" t="s">
        <v>211</v>
      </c>
      <c r="C702" s="96" t="s">
        <v>2176</v>
      </c>
      <c r="D702" s="12" t="s">
        <v>2177</v>
      </c>
      <c r="E702" s="14"/>
      <c r="F702" s="14"/>
      <c r="G702" s="13" t="s">
        <v>16</v>
      </c>
      <c r="H702" s="14"/>
      <c r="I702" s="73">
        <f>831*0.3</f>
        <v>249.3</v>
      </c>
      <c r="J702" s="16" t="s">
        <v>1720</v>
      </c>
    </row>
    <row r="703" ht="28.5" spans="1:10">
      <c r="A703" s="10">
        <v>701</v>
      </c>
      <c r="B703" s="10" t="s">
        <v>11</v>
      </c>
      <c r="C703" s="96" t="s">
        <v>2178</v>
      </c>
      <c r="D703" s="12" t="s">
        <v>2179</v>
      </c>
      <c r="E703" s="12" t="s">
        <v>2180</v>
      </c>
      <c r="F703" s="12" t="s">
        <v>2181</v>
      </c>
      <c r="G703" s="13" t="s">
        <v>16</v>
      </c>
      <c r="H703" s="14"/>
      <c r="I703" s="24">
        <v>76</v>
      </c>
      <c r="J703" s="16" t="s">
        <v>1720</v>
      </c>
    </row>
    <row r="704" ht="28.5" spans="1:10">
      <c r="A704" s="10">
        <v>702</v>
      </c>
      <c r="B704" s="10" t="s">
        <v>11</v>
      </c>
      <c r="C704" s="96" t="s">
        <v>2182</v>
      </c>
      <c r="D704" s="12" t="s">
        <v>2183</v>
      </c>
      <c r="E704" s="12" t="s">
        <v>2184</v>
      </c>
      <c r="F704" s="12" t="s">
        <v>2185</v>
      </c>
      <c r="G704" s="13" t="s">
        <v>16</v>
      </c>
      <c r="H704" s="14"/>
      <c r="I704" s="24">
        <v>128</v>
      </c>
      <c r="J704" s="16" t="s">
        <v>1720</v>
      </c>
    </row>
    <row r="705" ht="42.75" spans="1:10">
      <c r="A705" s="10">
        <v>703</v>
      </c>
      <c r="B705" s="10" t="s">
        <v>211</v>
      </c>
      <c r="C705" s="96" t="s">
        <v>2186</v>
      </c>
      <c r="D705" s="12" t="s">
        <v>2187</v>
      </c>
      <c r="E705" s="12" t="s">
        <v>2188</v>
      </c>
      <c r="F705" s="12" t="s">
        <v>2189</v>
      </c>
      <c r="G705" s="13" t="s">
        <v>16</v>
      </c>
      <c r="H705" s="14"/>
      <c r="I705" s="24">
        <v>1162.76</v>
      </c>
      <c r="J705" s="16" t="s">
        <v>1720</v>
      </c>
    </row>
    <row r="706" ht="30" spans="1:10">
      <c r="A706" s="10">
        <v>704</v>
      </c>
      <c r="B706" s="10" t="s">
        <v>211</v>
      </c>
      <c r="C706" s="96" t="s">
        <v>2190</v>
      </c>
      <c r="D706" s="12" t="s">
        <v>2191</v>
      </c>
      <c r="E706" s="14"/>
      <c r="F706" s="14"/>
      <c r="G706" s="13" t="s">
        <v>16</v>
      </c>
      <c r="H706" s="14"/>
      <c r="I706" s="73">
        <f>1163*0.3</f>
        <v>348.9</v>
      </c>
      <c r="J706" s="16" t="s">
        <v>1720</v>
      </c>
    </row>
    <row r="707" ht="57" spans="1:10">
      <c r="A707" s="10">
        <v>705</v>
      </c>
      <c r="B707" s="10" t="s">
        <v>211</v>
      </c>
      <c r="C707" s="96" t="s">
        <v>2192</v>
      </c>
      <c r="D707" s="12" t="s">
        <v>2193</v>
      </c>
      <c r="E707" s="12" t="s">
        <v>2194</v>
      </c>
      <c r="F707" s="12" t="s">
        <v>2195</v>
      </c>
      <c r="G707" s="13" t="s">
        <v>16</v>
      </c>
      <c r="H707" s="14"/>
      <c r="I707" s="24">
        <v>2771.6</v>
      </c>
      <c r="J707" s="16" t="s">
        <v>1720</v>
      </c>
    </row>
    <row r="708" ht="30" spans="1:10">
      <c r="A708" s="10">
        <v>706</v>
      </c>
      <c r="B708" s="10" t="s">
        <v>211</v>
      </c>
      <c r="C708" s="96" t="s">
        <v>2196</v>
      </c>
      <c r="D708" s="12" t="s">
        <v>2197</v>
      </c>
      <c r="E708" s="14"/>
      <c r="F708" s="14"/>
      <c r="G708" s="13" t="s">
        <v>16</v>
      </c>
      <c r="H708" s="14"/>
      <c r="I708" s="24">
        <v>554</v>
      </c>
      <c r="J708" s="16" t="s">
        <v>1720</v>
      </c>
    </row>
    <row r="709" ht="15.75" spans="1:10">
      <c r="A709" s="10">
        <v>707</v>
      </c>
      <c r="B709" s="10" t="s">
        <v>211</v>
      </c>
      <c r="C709" s="96" t="s">
        <v>2198</v>
      </c>
      <c r="D709" s="12" t="s">
        <v>2199</v>
      </c>
      <c r="E709" s="14"/>
      <c r="F709" s="14"/>
      <c r="G709" s="13" t="s">
        <v>16</v>
      </c>
      <c r="H709" s="14"/>
      <c r="I709" s="73">
        <f>2772*0.3</f>
        <v>831.6</v>
      </c>
      <c r="J709" s="16" t="s">
        <v>1720</v>
      </c>
    </row>
    <row r="710" ht="42.75" spans="1:10">
      <c r="A710" s="10">
        <v>708</v>
      </c>
      <c r="B710" s="10" t="s">
        <v>211</v>
      </c>
      <c r="C710" s="96" t="s">
        <v>2200</v>
      </c>
      <c r="D710" s="12" t="s">
        <v>2201</v>
      </c>
      <c r="E710" s="12" t="s">
        <v>2202</v>
      </c>
      <c r="F710" s="12" t="s">
        <v>2203</v>
      </c>
      <c r="G710" s="13" t="s">
        <v>16</v>
      </c>
      <c r="H710" s="12" t="s">
        <v>2204</v>
      </c>
      <c r="I710" s="24">
        <v>3603.08</v>
      </c>
      <c r="J710" s="16" t="s">
        <v>1720</v>
      </c>
    </row>
    <row r="711" ht="30" spans="1:10">
      <c r="A711" s="10">
        <v>709</v>
      </c>
      <c r="B711" s="10" t="s">
        <v>211</v>
      </c>
      <c r="C711" s="96" t="s">
        <v>2205</v>
      </c>
      <c r="D711" s="12" t="s">
        <v>2206</v>
      </c>
      <c r="E711" s="14"/>
      <c r="F711" s="14"/>
      <c r="G711" s="13" t="s">
        <v>16</v>
      </c>
      <c r="H711" s="14"/>
      <c r="I711" s="73">
        <f>3603*0.3</f>
        <v>1080.9</v>
      </c>
      <c r="J711" s="16" t="s">
        <v>1720</v>
      </c>
    </row>
    <row r="712" ht="42.75" spans="1:10">
      <c r="A712" s="10">
        <v>710</v>
      </c>
      <c r="B712" s="10" t="s">
        <v>211</v>
      </c>
      <c r="C712" s="96" t="s">
        <v>2207</v>
      </c>
      <c r="D712" s="12" t="s">
        <v>2208</v>
      </c>
      <c r="E712" s="12" t="s">
        <v>2209</v>
      </c>
      <c r="F712" s="12" t="s">
        <v>2210</v>
      </c>
      <c r="G712" s="13" t="s">
        <v>16</v>
      </c>
      <c r="H712" s="12" t="s">
        <v>2204</v>
      </c>
      <c r="I712" s="24">
        <v>2197</v>
      </c>
      <c r="J712" s="16" t="s">
        <v>1720</v>
      </c>
    </row>
    <row r="713" ht="30" spans="1:10">
      <c r="A713" s="10">
        <v>711</v>
      </c>
      <c r="B713" s="10" t="s">
        <v>211</v>
      </c>
      <c r="C713" s="96" t="s">
        <v>2211</v>
      </c>
      <c r="D713" s="12" t="s">
        <v>2212</v>
      </c>
      <c r="E713" s="14"/>
      <c r="F713" s="14"/>
      <c r="G713" s="13" t="s">
        <v>16</v>
      </c>
      <c r="H713" s="14"/>
      <c r="I713" s="73">
        <f>2197*0.3</f>
        <v>659.1</v>
      </c>
      <c r="J713" s="16" t="s">
        <v>1720</v>
      </c>
    </row>
    <row r="714" ht="45.75" spans="1:10">
      <c r="A714" s="10">
        <v>712</v>
      </c>
      <c r="B714" s="10" t="s">
        <v>211</v>
      </c>
      <c r="C714" s="96" t="s">
        <v>2213</v>
      </c>
      <c r="D714" s="12" t="s">
        <v>2214</v>
      </c>
      <c r="E714" s="12" t="s">
        <v>2215</v>
      </c>
      <c r="F714" s="12" t="s">
        <v>2216</v>
      </c>
      <c r="G714" s="13" t="s">
        <v>16</v>
      </c>
      <c r="H714" s="12" t="s">
        <v>2217</v>
      </c>
      <c r="I714" s="24">
        <v>5273</v>
      </c>
      <c r="J714" s="16" t="s">
        <v>1720</v>
      </c>
    </row>
    <row r="715" ht="30" spans="1:10">
      <c r="A715" s="10">
        <v>713</v>
      </c>
      <c r="B715" s="10" t="s">
        <v>211</v>
      </c>
      <c r="C715" s="96" t="s">
        <v>2218</v>
      </c>
      <c r="D715" s="12" t="s">
        <v>2219</v>
      </c>
      <c r="E715" s="14"/>
      <c r="F715" s="14"/>
      <c r="G715" s="13" t="s">
        <v>16</v>
      </c>
      <c r="H715" s="14"/>
      <c r="I715" s="73">
        <f>5273*0.3</f>
        <v>1581.9</v>
      </c>
      <c r="J715" s="16" t="s">
        <v>1720</v>
      </c>
    </row>
    <row r="716" ht="42.75" spans="1:10">
      <c r="A716" s="10">
        <v>714</v>
      </c>
      <c r="B716" s="10" t="s">
        <v>211</v>
      </c>
      <c r="C716" s="96" t="s">
        <v>2220</v>
      </c>
      <c r="D716" s="12" t="s">
        <v>2221</v>
      </c>
      <c r="E716" s="12" t="s">
        <v>2222</v>
      </c>
      <c r="F716" s="12" t="s">
        <v>2223</v>
      </c>
      <c r="G716" s="13" t="s">
        <v>16</v>
      </c>
      <c r="H716" s="14"/>
      <c r="I716" s="24">
        <v>2771.6</v>
      </c>
      <c r="J716" s="16" t="s">
        <v>1720</v>
      </c>
    </row>
    <row r="717" ht="15.75" spans="1:10">
      <c r="A717" s="10">
        <v>715</v>
      </c>
      <c r="B717" s="10" t="s">
        <v>211</v>
      </c>
      <c r="C717" s="96" t="s">
        <v>2224</v>
      </c>
      <c r="D717" s="12" t="s">
        <v>2225</v>
      </c>
      <c r="E717" s="14"/>
      <c r="F717" s="14"/>
      <c r="G717" s="13" t="s">
        <v>16</v>
      </c>
      <c r="H717" s="14"/>
      <c r="I717" s="73">
        <f>2772*0.3</f>
        <v>831.6</v>
      </c>
      <c r="J717" s="16" t="s">
        <v>1720</v>
      </c>
    </row>
    <row r="718" ht="30" spans="1:10">
      <c r="A718" s="10">
        <v>716</v>
      </c>
      <c r="B718" s="10" t="s">
        <v>211</v>
      </c>
      <c r="C718" s="96" t="s">
        <v>2226</v>
      </c>
      <c r="D718" s="12" t="s">
        <v>2227</v>
      </c>
      <c r="E718" s="14"/>
      <c r="F718" s="14"/>
      <c r="G718" s="13" t="s">
        <v>16</v>
      </c>
      <c r="H718" s="14"/>
      <c r="I718" s="24">
        <v>2771.6</v>
      </c>
      <c r="J718" s="16" t="s">
        <v>1720</v>
      </c>
    </row>
    <row r="719" ht="57" spans="1:10">
      <c r="A719" s="10">
        <v>717</v>
      </c>
      <c r="B719" s="10" t="s">
        <v>211</v>
      </c>
      <c r="C719" s="96" t="s">
        <v>2228</v>
      </c>
      <c r="D719" s="12" t="s">
        <v>2229</v>
      </c>
      <c r="E719" s="12" t="s">
        <v>2230</v>
      </c>
      <c r="F719" s="12" t="s">
        <v>2231</v>
      </c>
      <c r="G719" s="13" t="s">
        <v>16</v>
      </c>
      <c r="H719" s="12" t="s">
        <v>2232</v>
      </c>
      <c r="I719" s="24">
        <v>2077.88</v>
      </c>
      <c r="J719" s="16" t="s">
        <v>1720</v>
      </c>
    </row>
    <row r="720" ht="30" spans="1:10">
      <c r="A720" s="10">
        <v>718</v>
      </c>
      <c r="B720" s="10" t="s">
        <v>211</v>
      </c>
      <c r="C720" s="96" t="s">
        <v>2233</v>
      </c>
      <c r="D720" s="12" t="s">
        <v>2234</v>
      </c>
      <c r="E720" s="14"/>
      <c r="F720" s="14"/>
      <c r="G720" s="13" t="s">
        <v>16</v>
      </c>
      <c r="H720" s="14"/>
      <c r="I720" s="73">
        <f>2078*0.3</f>
        <v>623.4</v>
      </c>
      <c r="J720" s="16" t="s">
        <v>1720</v>
      </c>
    </row>
    <row r="721" ht="42.75" spans="1:10">
      <c r="A721" s="10">
        <v>719</v>
      </c>
      <c r="B721" s="10" t="s">
        <v>211</v>
      </c>
      <c r="C721" s="96" t="s">
        <v>2235</v>
      </c>
      <c r="D721" s="12" t="s">
        <v>2236</v>
      </c>
      <c r="E721" s="12" t="s">
        <v>2237</v>
      </c>
      <c r="F721" s="12" t="s">
        <v>2238</v>
      </c>
      <c r="G721" s="13" t="s">
        <v>16</v>
      </c>
      <c r="H721" s="14"/>
      <c r="I721" s="24">
        <v>1385.8</v>
      </c>
      <c r="J721" s="16" t="s">
        <v>1720</v>
      </c>
    </row>
    <row r="722" ht="30" spans="1:10">
      <c r="A722" s="10">
        <v>720</v>
      </c>
      <c r="B722" s="10" t="s">
        <v>211</v>
      </c>
      <c r="C722" s="96" t="s">
        <v>2239</v>
      </c>
      <c r="D722" s="12" t="s">
        <v>2240</v>
      </c>
      <c r="E722" s="14"/>
      <c r="F722" s="14"/>
      <c r="G722" s="13" t="s">
        <v>16</v>
      </c>
      <c r="H722" s="14"/>
      <c r="I722" s="73">
        <f>1386*0.3</f>
        <v>415.8</v>
      </c>
      <c r="J722" s="16" t="s">
        <v>1720</v>
      </c>
    </row>
    <row r="723" ht="42.75" spans="1:10">
      <c r="A723" s="10">
        <v>721</v>
      </c>
      <c r="B723" s="10" t="s">
        <v>211</v>
      </c>
      <c r="C723" s="96" t="s">
        <v>2241</v>
      </c>
      <c r="D723" s="12" t="s">
        <v>2242</v>
      </c>
      <c r="E723" s="12" t="s">
        <v>2243</v>
      </c>
      <c r="F723" s="12" t="s">
        <v>2244</v>
      </c>
      <c r="G723" s="13" t="s">
        <v>16</v>
      </c>
      <c r="H723" s="14"/>
      <c r="I723" s="24">
        <v>415.74</v>
      </c>
      <c r="J723" s="16" t="s">
        <v>1720</v>
      </c>
    </row>
    <row r="724" ht="30" spans="1:10">
      <c r="A724" s="10">
        <v>722</v>
      </c>
      <c r="B724" s="10" t="s">
        <v>211</v>
      </c>
      <c r="C724" s="96" t="s">
        <v>2245</v>
      </c>
      <c r="D724" s="12" t="s">
        <v>2246</v>
      </c>
      <c r="E724" s="14"/>
      <c r="F724" s="14"/>
      <c r="G724" s="13" t="s">
        <v>16</v>
      </c>
      <c r="H724" s="14"/>
      <c r="I724" s="73">
        <f>416*0.3</f>
        <v>124.8</v>
      </c>
      <c r="J724" s="16" t="s">
        <v>1720</v>
      </c>
    </row>
    <row r="725" ht="28.5" spans="1:10">
      <c r="A725" s="10">
        <v>723</v>
      </c>
      <c r="B725" s="10" t="s">
        <v>11</v>
      </c>
      <c r="C725" s="96" t="s">
        <v>2247</v>
      </c>
      <c r="D725" s="12" t="s">
        <v>2248</v>
      </c>
      <c r="E725" s="12" t="s">
        <v>2249</v>
      </c>
      <c r="F725" s="12" t="s">
        <v>2250</v>
      </c>
      <c r="G725" s="13" t="s">
        <v>16</v>
      </c>
      <c r="H725" s="14"/>
      <c r="I725" s="24">
        <v>80</v>
      </c>
      <c r="J725" s="16" t="s">
        <v>1720</v>
      </c>
    </row>
    <row r="726" ht="42.75" spans="1:10">
      <c r="A726" s="10">
        <v>724</v>
      </c>
      <c r="B726" s="10" t="s">
        <v>211</v>
      </c>
      <c r="C726" s="96" t="s">
        <v>2251</v>
      </c>
      <c r="D726" s="12" t="s">
        <v>2252</v>
      </c>
      <c r="E726" s="12" t="s">
        <v>2253</v>
      </c>
      <c r="F726" s="12" t="s">
        <v>2254</v>
      </c>
      <c r="G726" s="13" t="s">
        <v>16</v>
      </c>
      <c r="H726" s="14"/>
      <c r="I726" s="24">
        <v>91.02</v>
      </c>
      <c r="J726" s="16" t="s">
        <v>1720</v>
      </c>
    </row>
    <row r="727" ht="15.75" spans="1:10">
      <c r="A727" s="10">
        <v>725</v>
      </c>
      <c r="B727" s="10" t="s">
        <v>211</v>
      </c>
      <c r="C727" s="96" t="s">
        <v>2255</v>
      </c>
      <c r="D727" s="12" t="s">
        <v>2256</v>
      </c>
      <c r="E727" s="14"/>
      <c r="F727" s="14"/>
      <c r="G727" s="13" t="s">
        <v>16</v>
      </c>
      <c r="H727" s="14"/>
      <c r="I727" s="73">
        <f>91*0.3</f>
        <v>27.3</v>
      </c>
      <c r="J727" s="16" t="s">
        <v>1720</v>
      </c>
    </row>
    <row r="728" ht="42.75" spans="1:10">
      <c r="A728" s="10">
        <v>726</v>
      </c>
      <c r="B728" s="10" t="s">
        <v>211</v>
      </c>
      <c r="C728" s="96" t="s">
        <v>2257</v>
      </c>
      <c r="D728" s="12" t="s">
        <v>2258</v>
      </c>
      <c r="E728" s="12" t="s">
        <v>2259</v>
      </c>
      <c r="F728" s="12" t="s">
        <v>2260</v>
      </c>
      <c r="G728" s="13" t="s">
        <v>16</v>
      </c>
      <c r="H728" s="14"/>
      <c r="I728" s="24">
        <v>307.5</v>
      </c>
      <c r="J728" s="16" t="s">
        <v>1720</v>
      </c>
    </row>
    <row r="729" ht="15.75" spans="1:10">
      <c r="A729" s="10">
        <v>727</v>
      </c>
      <c r="B729" s="10" t="s">
        <v>211</v>
      </c>
      <c r="C729" s="96" t="s">
        <v>2261</v>
      </c>
      <c r="D729" s="12" t="s">
        <v>2262</v>
      </c>
      <c r="E729" s="14"/>
      <c r="F729" s="14"/>
      <c r="G729" s="13" t="s">
        <v>16</v>
      </c>
      <c r="H729" s="14"/>
      <c r="I729" s="73">
        <f>308*0.3</f>
        <v>92.4</v>
      </c>
      <c r="J729" s="16" t="s">
        <v>1720</v>
      </c>
    </row>
    <row r="730" ht="42.75" spans="1:10">
      <c r="A730" s="10">
        <v>728</v>
      </c>
      <c r="B730" s="74" t="s">
        <v>211</v>
      </c>
      <c r="C730" s="96" t="s">
        <v>2263</v>
      </c>
      <c r="D730" s="12" t="s">
        <v>2264</v>
      </c>
      <c r="E730" s="12" t="s">
        <v>2265</v>
      </c>
      <c r="F730" s="12" t="s">
        <v>2151</v>
      </c>
      <c r="G730" s="13" t="s">
        <v>16</v>
      </c>
      <c r="H730" s="14"/>
      <c r="I730" s="24">
        <v>3106</v>
      </c>
      <c r="J730" s="16" t="s">
        <v>1720</v>
      </c>
    </row>
    <row r="731" ht="30" spans="1:10">
      <c r="A731" s="10">
        <v>729</v>
      </c>
      <c r="B731" s="74" t="s">
        <v>211</v>
      </c>
      <c r="C731" s="96" t="s">
        <v>2266</v>
      </c>
      <c r="D731" s="12" t="s">
        <v>2267</v>
      </c>
      <c r="E731" s="14"/>
      <c r="F731" s="14"/>
      <c r="G731" s="13" t="s">
        <v>16</v>
      </c>
      <c r="H731" s="14"/>
      <c r="I731" s="24">
        <v>1209</v>
      </c>
      <c r="J731" s="16" t="s">
        <v>1720</v>
      </c>
    </row>
    <row r="732" ht="30" spans="1:10">
      <c r="A732" s="10">
        <v>730</v>
      </c>
      <c r="B732" s="74" t="s">
        <v>211</v>
      </c>
      <c r="C732" s="96" t="s">
        <v>2268</v>
      </c>
      <c r="D732" s="12" t="s">
        <v>2269</v>
      </c>
      <c r="E732" s="75"/>
      <c r="F732" s="75"/>
      <c r="G732" s="76" t="s">
        <v>16</v>
      </c>
      <c r="H732" s="75"/>
      <c r="I732" s="73">
        <f>3106*0.3</f>
        <v>931.8</v>
      </c>
      <c r="J732" s="16" t="s">
        <v>1720</v>
      </c>
    </row>
    <row r="733" ht="42.75" spans="1:10">
      <c r="A733" s="10">
        <v>731</v>
      </c>
      <c r="B733" s="10" t="s">
        <v>177</v>
      </c>
      <c r="C733" s="11" t="s">
        <v>2270</v>
      </c>
      <c r="D733" s="12" t="s">
        <v>2271</v>
      </c>
      <c r="E733" s="12" t="s">
        <v>2272</v>
      </c>
      <c r="F733" s="12" t="s">
        <v>2273</v>
      </c>
      <c r="G733" s="27" t="s">
        <v>16</v>
      </c>
      <c r="H733" s="20"/>
      <c r="I733" s="15">
        <v>49.2</v>
      </c>
      <c r="J733" s="16" t="s">
        <v>2274</v>
      </c>
    </row>
    <row r="734" ht="42.75" spans="1:10">
      <c r="A734" s="10">
        <v>732</v>
      </c>
      <c r="B734" s="10" t="s">
        <v>177</v>
      </c>
      <c r="C734" s="11" t="s">
        <v>2275</v>
      </c>
      <c r="D734" s="12" t="s">
        <v>2276</v>
      </c>
      <c r="E734" s="12" t="s">
        <v>2277</v>
      </c>
      <c r="F734" s="12" t="s">
        <v>2273</v>
      </c>
      <c r="G734" s="27" t="s">
        <v>16</v>
      </c>
      <c r="H734" s="22" t="s">
        <v>2278</v>
      </c>
      <c r="I734" s="15">
        <v>140.22</v>
      </c>
      <c r="J734" s="16" t="s">
        <v>2274</v>
      </c>
    </row>
    <row r="735" ht="30" spans="1:10">
      <c r="A735" s="10">
        <v>733</v>
      </c>
      <c r="B735" s="10" t="s">
        <v>177</v>
      </c>
      <c r="C735" s="11" t="s">
        <v>2279</v>
      </c>
      <c r="D735" s="12" t="s">
        <v>2280</v>
      </c>
      <c r="E735" s="14"/>
      <c r="F735" s="14"/>
      <c r="G735" s="27" t="s">
        <v>16</v>
      </c>
      <c r="H735" s="20"/>
      <c r="I735" s="19">
        <f>140*0.3</f>
        <v>42</v>
      </c>
      <c r="J735" s="16" t="s">
        <v>2274</v>
      </c>
    </row>
    <row r="736" ht="30" spans="1:10">
      <c r="A736" s="10">
        <v>734</v>
      </c>
      <c r="B736" s="10" t="s">
        <v>177</v>
      </c>
      <c r="C736" s="11" t="s">
        <v>2281</v>
      </c>
      <c r="D736" s="22" t="s">
        <v>2282</v>
      </c>
      <c r="E736" s="14"/>
      <c r="F736" s="14"/>
      <c r="G736" s="27" t="s">
        <v>16</v>
      </c>
      <c r="H736" s="40"/>
      <c r="I736" s="15">
        <v>98</v>
      </c>
      <c r="J736" s="16" t="s">
        <v>2274</v>
      </c>
    </row>
    <row r="737" ht="42.75" spans="1:10">
      <c r="A737" s="10">
        <v>735</v>
      </c>
      <c r="B737" s="10" t="s">
        <v>177</v>
      </c>
      <c r="C737" s="11" t="s">
        <v>2283</v>
      </c>
      <c r="D737" s="12" t="s">
        <v>2284</v>
      </c>
      <c r="E737" s="12" t="s">
        <v>2285</v>
      </c>
      <c r="F737" s="12" t="s">
        <v>2273</v>
      </c>
      <c r="G737" s="13" t="s">
        <v>16</v>
      </c>
      <c r="H737" s="40"/>
      <c r="I737" s="15">
        <v>171</v>
      </c>
      <c r="J737" s="16" t="s">
        <v>2274</v>
      </c>
    </row>
    <row r="738" ht="42.75" spans="1:10">
      <c r="A738" s="10">
        <v>736</v>
      </c>
      <c r="B738" s="10" t="s">
        <v>177</v>
      </c>
      <c r="C738" s="11" t="s">
        <v>2286</v>
      </c>
      <c r="D738" s="12" t="s">
        <v>2287</v>
      </c>
      <c r="E738" s="12" t="s">
        <v>2288</v>
      </c>
      <c r="F738" s="12" t="s">
        <v>2273</v>
      </c>
      <c r="G738" s="27" t="s">
        <v>16</v>
      </c>
      <c r="H738" s="20"/>
      <c r="I738" s="15">
        <v>55</v>
      </c>
      <c r="J738" s="16" t="s">
        <v>2274</v>
      </c>
    </row>
    <row r="739" ht="42.75" spans="1:10">
      <c r="A739" s="10">
        <v>737</v>
      </c>
      <c r="B739" s="10" t="s">
        <v>177</v>
      </c>
      <c r="C739" s="11" t="s">
        <v>2289</v>
      </c>
      <c r="D739" s="12" t="s">
        <v>2290</v>
      </c>
      <c r="E739" s="12" t="s">
        <v>2291</v>
      </c>
      <c r="F739" s="12" t="s">
        <v>2273</v>
      </c>
      <c r="G739" s="27" t="s">
        <v>16</v>
      </c>
      <c r="H739" s="20"/>
      <c r="I739" s="15">
        <v>121</v>
      </c>
      <c r="J739" s="16" t="s">
        <v>2274</v>
      </c>
    </row>
    <row r="740" ht="57" spans="1:10">
      <c r="A740" s="10">
        <v>738</v>
      </c>
      <c r="B740" s="10" t="s">
        <v>177</v>
      </c>
      <c r="C740" s="11" t="s">
        <v>2292</v>
      </c>
      <c r="D740" s="12" t="s">
        <v>2293</v>
      </c>
      <c r="E740" s="12" t="s">
        <v>2294</v>
      </c>
      <c r="F740" s="12" t="s">
        <v>2273</v>
      </c>
      <c r="G740" s="27" t="s">
        <v>16</v>
      </c>
      <c r="H740" s="20"/>
      <c r="I740" s="15">
        <v>149.24</v>
      </c>
      <c r="J740" s="16" t="s">
        <v>2274</v>
      </c>
    </row>
    <row r="741" ht="42.75" spans="1:10">
      <c r="A741" s="10">
        <v>739</v>
      </c>
      <c r="B741" s="10" t="s">
        <v>177</v>
      </c>
      <c r="C741" s="11" t="s">
        <v>2295</v>
      </c>
      <c r="D741" s="21" t="s">
        <v>2296</v>
      </c>
      <c r="E741" s="12" t="s">
        <v>2297</v>
      </c>
      <c r="F741" s="12" t="s">
        <v>2273</v>
      </c>
      <c r="G741" s="27" t="s">
        <v>16</v>
      </c>
      <c r="H741" s="20"/>
      <c r="I741" s="15">
        <v>59</v>
      </c>
      <c r="J741" s="16" t="s">
        <v>2274</v>
      </c>
    </row>
    <row r="742" ht="42.75" spans="1:10">
      <c r="A742" s="10">
        <v>740</v>
      </c>
      <c r="B742" s="10" t="s">
        <v>177</v>
      </c>
      <c r="C742" s="11" t="s">
        <v>2298</v>
      </c>
      <c r="D742" s="12" t="s">
        <v>2299</v>
      </c>
      <c r="E742" s="12" t="s">
        <v>2300</v>
      </c>
      <c r="F742" s="12" t="s">
        <v>2273</v>
      </c>
      <c r="G742" s="27" t="s">
        <v>16</v>
      </c>
      <c r="H742" s="20"/>
      <c r="I742" s="15">
        <v>160</v>
      </c>
      <c r="J742" s="16" t="s">
        <v>2274</v>
      </c>
    </row>
    <row r="743" ht="42.75" spans="1:10">
      <c r="A743" s="10">
        <v>741</v>
      </c>
      <c r="B743" s="10" t="s">
        <v>177</v>
      </c>
      <c r="C743" s="11" t="s">
        <v>2301</v>
      </c>
      <c r="D743" s="12" t="s">
        <v>2302</v>
      </c>
      <c r="E743" s="12" t="s">
        <v>2303</v>
      </c>
      <c r="F743" s="12" t="s">
        <v>2273</v>
      </c>
      <c r="G743" s="27" t="s">
        <v>16</v>
      </c>
      <c r="H743" s="20"/>
      <c r="I743" s="15">
        <v>73.8</v>
      </c>
      <c r="J743" s="16" t="s">
        <v>2274</v>
      </c>
    </row>
    <row r="744" ht="42.75" spans="1:10">
      <c r="A744" s="10">
        <v>742</v>
      </c>
      <c r="B744" s="10" t="s">
        <v>177</v>
      </c>
      <c r="C744" s="11" t="s">
        <v>2304</v>
      </c>
      <c r="D744" s="12" t="s">
        <v>2305</v>
      </c>
      <c r="E744" s="12" t="s">
        <v>2306</v>
      </c>
      <c r="F744" s="12" t="s">
        <v>2273</v>
      </c>
      <c r="G744" s="27" t="s">
        <v>16</v>
      </c>
      <c r="H744" s="20"/>
      <c r="I744" s="15">
        <v>73.8</v>
      </c>
      <c r="J744" s="16" t="s">
        <v>2274</v>
      </c>
    </row>
    <row r="745" ht="57" spans="1:10">
      <c r="A745" s="10">
        <v>743</v>
      </c>
      <c r="B745" s="10" t="s">
        <v>177</v>
      </c>
      <c r="C745" s="11" t="s">
        <v>2307</v>
      </c>
      <c r="D745" s="12" t="s">
        <v>2308</v>
      </c>
      <c r="E745" s="12" t="s">
        <v>2309</v>
      </c>
      <c r="F745" s="12" t="s">
        <v>2273</v>
      </c>
      <c r="G745" s="27" t="s">
        <v>16</v>
      </c>
      <c r="H745" s="20"/>
      <c r="I745" s="15">
        <v>500</v>
      </c>
      <c r="J745" s="16" t="s">
        <v>2274</v>
      </c>
    </row>
    <row r="746" ht="30" spans="1:10">
      <c r="A746" s="10">
        <v>744</v>
      </c>
      <c r="B746" s="10" t="s">
        <v>177</v>
      </c>
      <c r="C746" s="11" t="s">
        <v>2310</v>
      </c>
      <c r="D746" s="22" t="s">
        <v>2311</v>
      </c>
      <c r="E746" s="14"/>
      <c r="F746" s="14"/>
      <c r="G746" s="27" t="s">
        <v>16</v>
      </c>
      <c r="H746" s="20"/>
      <c r="I746" s="15">
        <v>200</v>
      </c>
      <c r="J746" s="16" t="s">
        <v>2274</v>
      </c>
    </row>
    <row r="747" ht="30" spans="1:10">
      <c r="A747" s="10">
        <v>745</v>
      </c>
      <c r="B747" s="10" t="s">
        <v>177</v>
      </c>
      <c r="C747" s="11" t="s">
        <v>2312</v>
      </c>
      <c r="D747" s="12" t="s">
        <v>2313</v>
      </c>
      <c r="E747" s="12" t="s">
        <v>2314</v>
      </c>
      <c r="F747" s="12" t="s">
        <v>2315</v>
      </c>
      <c r="G747" s="13" t="s">
        <v>303</v>
      </c>
      <c r="H747" s="20"/>
      <c r="I747" s="15">
        <v>7</v>
      </c>
      <c r="J747" s="16" t="s">
        <v>2274</v>
      </c>
    </row>
    <row r="748" ht="42.75" spans="1:10">
      <c r="A748" s="10">
        <v>746</v>
      </c>
      <c r="B748" s="10" t="s">
        <v>177</v>
      </c>
      <c r="C748" s="11" t="s">
        <v>2316</v>
      </c>
      <c r="D748" s="12" t="s">
        <v>2317</v>
      </c>
      <c r="E748" s="12" t="s">
        <v>2318</v>
      </c>
      <c r="F748" s="12" t="s">
        <v>2319</v>
      </c>
      <c r="G748" s="27" t="s">
        <v>16</v>
      </c>
      <c r="H748" s="22" t="s">
        <v>2320</v>
      </c>
      <c r="I748" s="15">
        <v>326.36</v>
      </c>
      <c r="J748" s="16" t="s">
        <v>2274</v>
      </c>
    </row>
    <row r="749" ht="44.25" spans="1:10">
      <c r="A749" s="10">
        <v>747</v>
      </c>
      <c r="B749" s="10" t="s">
        <v>177</v>
      </c>
      <c r="C749" s="11" t="s">
        <v>2321</v>
      </c>
      <c r="D749" s="22" t="s">
        <v>2322</v>
      </c>
      <c r="E749" s="14"/>
      <c r="F749" s="14"/>
      <c r="G749" s="27" t="s">
        <v>16</v>
      </c>
      <c r="H749" s="22" t="s">
        <v>2320</v>
      </c>
      <c r="I749" s="15">
        <v>33</v>
      </c>
      <c r="J749" s="16" t="s">
        <v>2274</v>
      </c>
    </row>
    <row r="750" ht="57" spans="1:10">
      <c r="A750" s="10">
        <v>748</v>
      </c>
      <c r="B750" s="10" t="s">
        <v>177</v>
      </c>
      <c r="C750" s="11" t="s">
        <v>2323</v>
      </c>
      <c r="D750" s="12" t="s">
        <v>2324</v>
      </c>
      <c r="E750" s="12" t="s">
        <v>2325</v>
      </c>
      <c r="F750" s="12" t="s">
        <v>2319</v>
      </c>
      <c r="G750" s="27" t="s">
        <v>16</v>
      </c>
      <c r="H750" s="14"/>
      <c r="I750" s="15">
        <v>550</v>
      </c>
      <c r="J750" s="16" t="s">
        <v>2274</v>
      </c>
    </row>
    <row r="751" ht="57" spans="1:10">
      <c r="A751" s="10">
        <v>749</v>
      </c>
      <c r="B751" s="10" t="s">
        <v>177</v>
      </c>
      <c r="C751" s="11" t="s">
        <v>2326</v>
      </c>
      <c r="D751" s="12" t="s">
        <v>2327</v>
      </c>
      <c r="E751" s="12" t="s">
        <v>2328</v>
      </c>
      <c r="F751" s="12" t="s">
        <v>2319</v>
      </c>
      <c r="G751" s="13" t="s">
        <v>16</v>
      </c>
      <c r="H751" s="14"/>
      <c r="I751" s="15">
        <v>1268</v>
      </c>
      <c r="J751" s="16" t="s">
        <v>2274</v>
      </c>
    </row>
    <row r="752" ht="42.75" spans="1:10">
      <c r="A752" s="10">
        <v>750</v>
      </c>
      <c r="B752" s="10" t="s">
        <v>177</v>
      </c>
      <c r="C752" s="11" t="s">
        <v>2329</v>
      </c>
      <c r="D752" s="12" t="s">
        <v>2330</v>
      </c>
      <c r="E752" s="12" t="s">
        <v>2331</v>
      </c>
      <c r="F752" s="12" t="s">
        <v>2332</v>
      </c>
      <c r="G752" s="13" t="s">
        <v>16</v>
      </c>
      <c r="H752" s="14"/>
      <c r="I752" s="15">
        <v>594</v>
      </c>
      <c r="J752" s="16" t="s">
        <v>2274</v>
      </c>
    </row>
    <row r="753" ht="57" spans="1:10">
      <c r="A753" s="10">
        <v>751</v>
      </c>
      <c r="B753" s="10" t="s">
        <v>177</v>
      </c>
      <c r="C753" s="11" t="s">
        <v>2333</v>
      </c>
      <c r="D753" s="12" t="s">
        <v>2334</v>
      </c>
      <c r="E753" s="12" t="s">
        <v>2335</v>
      </c>
      <c r="F753" s="12" t="s">
        <v>2336</v>
      </c>
      <c r="G753" s="13" t="s">
        <v>16</v>
      </c>
      <c r="H753" s="20"/>
      <c r="I753" s="15">
        <v>298.48</v>
      </c>
      <c r="J753" s="16" t="s">
        <v>2274</v>
      </c>
    </row>
    <row r="754" ht="42.75" spans="1:10">
      <c r="A754" s="10">
        <v>752</v>
      </c>
      <c r="B754" s="10" t="s">
        <v>11</v>
      </c>
      <c r="C754" s="11" t="s">
        <v>2337</v>
      </c>
      <c r="D754" s="12" t="s">
        <v>2338</v>
      </c>
      <c r="E754" s="12" t="s">
        <v>2339</v>
      </c>
      <c r="F754" s="12" t="s">
        <v>2340</v>
      </c>
      <c r="G754" s="13" t="s">
        <v>16</v>
      </c>
      <c r="H754" s="20"/>
      <c r="I754" s="15">
        <v>9.84</v>
      </c>
      <c r="J754" s="16" t="s">
        <v>2274</v>
      </c>
    </row>
    <row r="755" ht="42.75" spans="1:10">
      <c r="A755" s="10">
        <v>753</v>
      </c>
      <c r="B755" s="10" t="s">
        <v>11</v>
      </c>
      <c r="C755" s="11" t="s">
        <v>2341</v>
      </c>
      <c r="D755" s="77" t="s">
        <v>2342</v>
      </c>
      <c r="E755" s="12" t="s">
        <v>2343</v>
      </c>
      <c r="F755" s="12" t="s">
        <v>2344</v>
      </c>
      <c r="G755" s="27" t="s">
        <v>303</v>
      </c>
      <c r="H755" s="20"/>
      <c r="I755" s="15">
        <v>54.12</v>
      </c>
      <c r="J755" s="16" t="s">
        <v>2274</v>
      </c>
    </row>
    <row r="756" ht="42.75" spans="1:10">
      <c r="A756" s="10">
        <v>754</v>
      </c>
      <c r="B756" s="10" t="s">
        <v>11</v>
      </c>
      <c r="C756" s="11" t="s">
        <v>2345</v>
      </c>
      <c r="D756" s="12" t="s">
        <v>2346</v>
      </c>
      <c r="E756" s="12" t="s">
        <v>2347</v>
      </c>
      <c r="F756" s="12" t="s">
        <v>2348</v>
      </c>
      <c r="G756" s="27" t="s">
        <v>16</v>
      </c>
      <c r="H756" s="22" t="s">
        <v>2349</v>
      </c>
      <c r="I756" s="15">
        <v>21.32</v>
      </c>
      <c r="J756" s="16" t="s">
        <v>2274</v>
      </c>
    </row>
    <row r="757" ht="57" spans="1:10">
      <c r="A757" s="10">
        <v>755</v>
      </c>
      <c r="B757" s="10" t="s">
        <v>11</v>
      </c>
      <c r="C757" s="11" t="s">
        <v>2350</v>
      </c>
      <c r="D757" s="12" t="s">
        <v>2351</v>
      </c>
      <c r="E757" s="12" t="s">
        <v>2352</v>
      </c>
      <c r="F757" s="12" t="s">
        <v>2353</v>
      </c>
      <c r="G757" s="27" t="s">
        <v>369</v>
      </c>
      <c r="H757" s="20"/>
      <c r="I757" s="15">
        <v>1862</v>
      </c>
      <c r="J757" s="16" t="s">
        <v>2274</v>
      </c>
    </row>
    <row r="758" ht="57" spans="1:10">
      <c r="A758" s="10">
        <v>756</v>
      </c>
      <c r="B758" s="10" t="s">
        <v>11</v>
      </c>
      <c r="C758" s="11" t="s">
        <v>2354</v>
      </c>
      <c r="D758" s="12" t="s">
        <v>2355</v>
      </c>
      <c r="E758" s="12" t="s">
        <v>2356</v>
      </c>
      <c r="F758" s="12" t="s">
        <v>2357</v>
      </c>
      <c r="G758" s="27" t="s">
        <v>16</v>
      </c>
      <c r="H758" s="20"/>
      <c r="I758" s="15">
        <v>527</v>
      </c>
      <c r="J758" s="16" t="s">
        <v>2274</v>
      </c>
    </row>
    <row r="759" ht="42.75" spans="1:10">
      <c r="A759" s="10">
        <v>757</v>
      </c>
      <c r="B759" s="10" t="s">
        <v>11</v>
      </c>
      <c r="C759" s="11" t="s">
        <v>2358</v>
      </c>
      <c r="D759" s="12" t="s">
        <v>2359</v>
      </c>
      <c r="E759" s="12" t="s">
        <v>2360</v>
      </c>
      <c r="F759" s="12" t="s">
        <v>2357</v>
      </c>
      <c r="G759" s="13" t="s">
        <v>16</v>
      </c>
      <c r="H759" s="20"/>
      <c r="I759" s="15">
        <v>260</v>
      </c>
      <c r="J759" s="16" t="s">
        <v>2274</v>
      </c>
    </row>
    <row r="760" ht="85.5" spans="1:10">
      <c r="A760" s="10">
        <v>758</v>
      </c>
      <c r="B760" s="10" t="s">
        <v>11</v>
      </c>
      <c r="C760" s="11" t="s">
        <v>2361</v>
      </c>
      <c r="D760" s="12" t="s">
        <v>2362</v>
      </c>
      <c r="E760" s="12" t="s">
        <v>2363</v>
      </c>
      <c r="F760" s="12" t="s">
        <v>2357</v>
      </c>
      <c r="G760" s="13" t="s">
        <v>16</v>
      </c>
      <c r="H760" s="20"/>
      <c r="I760" s="15">
        <v>493.64</v>
      </c>
      <c r="J760" s="16" t="s">
        <v>2274</v>
      </c>
    </row>
    <row r="761" ht="42.75" spans="1:10">
      <c r="A761" s="10">
        <v>759</v>
      </c>
      <c r="B761" s="10" t="s">
        <v>211</v>
      </c>
      <c r="C761" s="11" t="s">
        <v>2364</v>
      </c>
      <c r="D761" s="12" t="s">
        <v>2365</v>
      </c>
      <c r="E761" s="12" t="s">
        <v>2366</v>
      </c>
      <c r="F761" s="12" t="s">
        <v>2367</v>
      </c>
      <c r="G761" s="13" t="s">
        <v>16</v>
      </c>
      <c r="H761" s="20"/>
      <c r="I761" s="15">
        <v>2078.7</v>
      </c>
      <c r="J761" s="16" t="s">
        <v>2274</v>
      </c>
    </row>
    <row r="762" ht="30" spans="1:10">
      <c r="A762" s="10">
        <v>760</v>
      </c>
      <c r="B762" s="10" t="s">
        <v>211</v>
      </c>
      <c r="C762" s="11" t="s">
        <v>2368</v>
      </c>
      <c r="D762" s="12" t="s">
        <v>2369</v>
      </c>
      <c r="E762" s="14"/>
      <c r="F762" s="14"/>
      <c r="G762" s="13" t="s">
        <v>16</v>
      </c>
      <c r="H762" s="20"/>
      <c r="I762" s="19">
        <f>2079*0.3</f>
        <v>623.7</v>
      </c>
      <c r="J762" s="16" t="s">
        <v>2274</v>
      </c>
    </row>
    <row r="763" ht="42.75" spans="1:10">
      <c r="A763" s="10">
        <v>761</v>
      </c>
      <c r="B763" s="10" t="s">
        <v>211</v>
      </c>
      <c r="C763" s="11" t="s">
        <v>2370</v>
      </c>
      <c r="D763" s="12" t="s">
        <v>2371</v>
      </c>
      <c r="E763" s="12" t="s">
        <v>2372</v>
      </c>
      <c r="F763" s="12" t="s">
        <v>2373</v>
      </c>
      <c r="G763" s="27" t="s">
        <v>16</v>
      </c>
      <c r="H763" s="14"/>
      <c r="I763" s="15">
        <v>2078.7</v>
      </c>
      <c r="J763" s="16" t="s">
        <v>2274</v>
      </c>
    </row>
    <row r="764" ht="30" spans="1:10">
      <c r="A764" s="10">
        <v>762</v>
      </c>
      <c r="B764" s="10" t="s">
        <v>211</v>
      </c>
      <c r="C764" s="11" t="s">
        <v>2374</v>
      </c>
      <c r="D764" s="12" t="s">
        <v>2375</v>
      </c>
      <c r="E764" s="14"/>
      <c r="F764" s="14"/>
      <c r="G764" s="27" t="s">
        <v>16</v>
      </c>
      <c r="H764" s="20"/>
      <c r="I764" s="19">
        <f>2079*0.3</f>
        <v>623.7</v>
      </c>
      <c r="J764" s="16" t="s">
        <v>2274</v>
      </c>
    </row>
    <row r="765" ht="42.75" spans="1:10">
      <c r="A765" s="10">
        <v>763</v>
      </c>
      <c r="B765" s="10" t="s">
        <v>211</v>
      </c>
      <c r="C765" s="11" t="s">
        <v>2376</v>
      </c>
      <c r="D765" s="12" t="s">
        <v>2377</v>
      </c>
      <c r="E765" s="12" t="s">
        <v>2378</v>
      </c>
      <c r="F765" s="12" t="s">
        <v>2379</v>
      </c>
      <c r="G765" s="13" t="s">
        <v>16</v>
      </c>
      <c r="H765" s="20"/>
      <c r="I765" s="15">
        <v>2132</v>
      </c>
      <c r="J765" s="16" t="s">
        <v>2274</v>
      </c>
    </row>
    <row r="766" ht="28.5" spans="1:10">
      <c r="A766" s="10">
        <v>764</v>
      </c>
      <c r="B766" s="10" t="s">
        <v>211</v>
      </c>
      <c r="C766" s="11" t="s">
        <v>2380</v>
      </c>
      <c r="D766" s="12" t="s">
        <v>2381</v>
      </c>
      <c r="E766" s="14"/>
      <c r="F766" s="14"/>
      <c r="G766" s="13" t="s">
        <v>16</v>
      </c>
      <c r="H766" s="20"/>
      <c r="I766" s="19">
        <f>2132*0.3</f>
        <v>639.6</v>
      </c>
      <c r="J766" s="16" t="s">
        <v>2274</v>
      </c>
    </row>
    <row r="767" ht="42.75" spans="1:10">
      <c r="A767" s="10">
        <v>765</v>
      </c>
      <c r="B767" s="10" t="s">
        <v>211</v>
      </c>
      <c r="C767" s="11" t="s">
        <v>2382</v>
      </c>
      <c r="D767" s="12" t="s">
        <v>2383</v>
      </c>
      <c r="E767" s="12" t="s">
        <v>2384</v>
      </c>
      <c r="F767" s="12" t="s">
        <v>2385</v>
      </c>
      <c r="G767" s="13" t="s">
        <v>16</v>
      </c>
      <c r="H767" s="20"/>
      <c r="I767" s="15">
        <v>2309.94</v>
      </c>
      <c r="J767" s="16" t="s">
        <v>2274</v>
      </c>
    </row>
    <row r="768" ht="30" spans="1:10">
      <c r="A768" s="10">
        <v>766</v>
      </c>
      <c r="B768" s="10" t="s">
        <v>211</v>
      </c>
      <c r="C768" s="11" t="s">
        <v>2386</v>
      </c>
      <c r="D768" s="12" t="s">
        <v>2387</v>
      </c>
      <c r="E768" s="14"/>
      <c r="F768" s="14"/>
      <c r="G768" s="13" t="s">
        <v>16</v>
      </c>
      <c r="H768" s="20"/>
      <c r="I768" s="19">
        <f>2310*0.3</f>
        <v>693</v>
      </c>
      <c r="J768" s="16" t="s">
        <v>2274</v>
      </c>
    </row>
    <row r="769" ht="57" spans="1:10">
      <c r="A769" s="10">
        <v>767</v>
      </c>
      <c r="B769" s="10" t="s">
        <v>211</v>
      </c>
      <c r="C769" s="11" t="s">
        <v>2388</v>
      </c>
      <c r="D769" s="12" t="s">
        <v>2389</v>
      </c>
      <c r="E769" s="12" t="s">
        <v>2390</v>
      </c>
      <c r="F769" s="12" t="s">
        <v>2391</v>
      </c>
      <c r="G769" s="27" t="s">
        <v>16</v>
      </c>
      <c r="H769" s="20"/>
      <c r="I769" s="15">
        <v>1900</v>
      </c>
      <c r="J769" s="16" t="s">
        <v>2274</v>
      </c>
    </row>
    <row r="770" ht="30" spans="1:10">
      <c r="A770" s="10">
        <v>768</v>
      </c>
      <c r="B770" s="10" t="s">
        <v>211</v>
      </c>
      <c r="C770" s="11" t="s">
        <v>2392</v>
      </c>
      <c r="D770" s="12" t="s">
        <v>2393</v>
      </c>
      <c r="E770" s="14"/>
      <c r="F770" s="20"/>
      <c r="G770" s="27" t="s">
        <v>16</v>
      </c>
      <c r="H770" s="20"/>
      <c r="I770" s="19">
        <f>1900*0.3</f>
        <v>570</v>
      </c>
      <c r="J770" s="16" t="s">
        <v>2274</v>
      </c>
    </row>
    <row r="771" ht="42.75" spans="1:10">
      <c r="A771" s="10">
        <v>769</v>
      </c>
      <c r="B771" s="10" t="s">
        <v>211</v>
      </c>
      <c r="C771" s="11" t="s">
        <v>2394</v>
      </c>
      <c r="D771" s="12" t="s">
        <v>2395</v>
      </c>
      <c r="E771" s="12" t="s">
        <v>2396</v>
      </c>
      <c r="F771" s="22" t="s">
        <v>2397</v>
      </c>
      <c r="G771" s="13" t="s">
        <v>16</v>
      </c>
      <c r="H771" s="20"/>
      <c r="I771" s="15">
        <v>364</v>
      </c>
      <c r="J771" s="16" t="s">
        <v>2274</v>
      </c>
    </row>
    <row r="772" ht="30" spans="1:10">
      <c r="A772" s="10">
        <v>770</v>
      </c>
      <c r="B772" s="10" t="s">
        <v>211</v>
      </c>
      <c r="C772" s="11" t="s">
        <v>2398</v>
      </c>
      <c r="D772" s="12" t="s">
        <v>2399</v>
      </c>
      <c r="E772" s="14"/>
      <c r="F772" s="14"/>
      <c r="G772" s="13" t="s">
        <v>16</v>
      </c>
      <c r="H772" s="20"/>
      <c r="I772" s="19">
        <f>364*0.3</f>
        <v>109.2</v>
      </c>
      <c r="J772" s="16" t="s">
        <v>2274</v>
      </c>
    </row>
    <row r="773" ht="42.75" spans="1:10">
      <c r="A773" s="10">
        <v>771</v>
      </c>
      <c r="B773" s="10" t="s">
        <v>211</v>
      </c>
      <c r="C773" s="11" t="s">
        <v>2400</v>
      </c>
      <c r="D773" s="12" t="s">
        <v>2401</v>
      </c>
      <c r="E773" s="12" t="s">
        <v>2402</v>
      </c>
      <c r="F773" s="12" t="s">
        <v>2403</v>
      </c>
      <c r="G773" s="13" t="s">
        <v>16</v>
      </c>
      <c r="H773" s="22" t="s">
        <v>2404</v>
      </c>
      <c r="I773" s="15">
        <v>5948.28</v>
      </c>
      <c r="J773" s="16" t="s">
        <v>2274</v>
      </c>
    </row>
    <row r="774" ht="15.75" spans="1:10">
      <c r="A774" s="10">
        <v>772</v>
      </c>
      <c r="B774" s="10" t="s">
        <v>211</v>
      </c>
      <c r="C774" s="11" t="s">
        <v>2405</v>
      </c>
      <c r="D774" s="12" t="s">
        <v>2406</v>
      </c>
      <c r="E774" s="14"/>
      <c r="F774" s="14"/>
      <c r="G774" s="13" t="s">
        <v>16</v>
      </c>
      <c r="H774" s="20"/>
      <c r="I774" s="19">
        <f>5948*0.3</f>
        <v>1784.4</v>
      </c>
      <c r="J774" s="16" t="s">
        <v>2274</v>
      </c>
    </row>
    <row r="775" ht="42.75" spans="1:10">
      <c r="A775" s="10">
        <v>773</v>
      </c>
      <c r="B775" s="10" t="s">
        <v>211</v>
      </c>
      <c r="C775" s="11" t="s">
        <v>2407</v>
      </c>
      <c r="D775" s="12" t="s">
        <v>2408</v>
      </c>
      <c r="E775" s="12" t="s">
        <v>2409</v>
      </c>
      <c r="F775" s="12" t="s">
        <v>2403</v>
      </c>
      <c r="G775" s="13" t="s">
        <v>16</v>
      </c>
      <c r="H775" s="22" t="s">
        <v>2410</v>
      </c>
      <c r="I775" s="15">
        <v>5967.14</v>
      </c>
      <c r="J775" s="16" t="s">
        <v>2274</v>
      </c>
    </row>
    <row r="776" ht="30" spans="1:10">
      <c r="A776" s="10">
        <v>774</v>
      </c>
      <c r="B776" s="10" t="s">
        <v>211</v>
      </c>
      <c r="C776" s="11" t="s">
        <v>2411</v>
      </c>
      <c r="D776" s="12" t="s">
        <v>2412</v>
      </c>
      <c r="E776" s="14"/>
      <c r="F776" s="14"/>
      <c r="G776" s="13" t="s">
        <v>16</v>
      </c>
      <c r="H776" s="20"/>
      <c r="I776" s="19">
        <f>5967*0.3</f>
        <v>1790.1</v>
      </c>
      <c r="J776" s="16" t="s">
        <v>2274</v>
      </c>
    </row>
    <row r="777" ht="42.75" spans="1:10">
      <c r="A777" s="10">
        <v>775</v>
      </c>
      <c r="B777" s="10" t="s">
        <v>211</v>
      </c>
      <c r="C777" s="11" t="s">
        <v>2413</v>
      </c>
      <c r="D777" s="12" t="s">
        <v>2414</v>
      </c>
      <c r="E777" s="12" t="s">
        <v>2415</v>
      </c>
      <c r="F777" s="12" t="s">
        <v>2416</v>
      </c>
      <c r="G777" s="13" t="s">
        <v>16</v>
      </c>
      <c r="H777" s="20"/>
      <c r="I777" s="15">
        <v>2530</v>
      </c>
      <c r="J777" s="16" t="s">
        <v>2274</v>
      </c>
    </row>
    <row r="778" ht="30" spans="1:10">
      <c r="A778" s="10">
        <v>776</v>
      </c>
      <c r="B778" s="10" t="s">
        <v>211</v>
      </c>
      <c r="C778" s="11" t="s">
        <v>2417</v>
      </c>
      <c r="D778" s="12" t="s">
        <v>2418</v>
      </c>
      <c r="E778" s="14"/>
      <c r="F778" s="14"/>
      <c r="G778" s="13" t="s">
        <v>16</v>
      </c>
      <c r="H778" s="20"/>
      <c r="I778" s="19">
        <f>2530*0.3</f>
        <v>759</v>
      </c>
      <c r="J778" s="16" t="s">
        <v>2274</v>
      </c>
    </row>
    <row r="779" ht="44.25" spans="1:10">
      <c r="A779" s="10">
        <v>777</v>
      </c>
      <c r="B779" s="10" t="s">
        <v>211</v>
      </c>
      <c r="C779" s="11" t="s">
        <v>2419</v>
      </c>
      <c r="D779" s="12" t="s">
        <v>2420</v>
      </c>
      <c r="E779" s="12" t="s">
        <v>2421</v>
      </c>
      <c r="F779" s="12" t="s">
        <v>2416</v>
      </c>
      <c r="G779" s="13" t="s">
        <v>16</v>
      </c>
      <c r="H779" s="22" t="s">
        <v>2422</v>
      </c>
      <c r="I779" s="15">
        <v>2771.6</v>
      </c>
      <c r="J779" s="16" t="s">
        <v>2274</v>
      </c>
    </row>
    <row r="780" ht="30" spans="1:10">
      <c r="A780" s="10">
        <v>778</v>
      </c>
      <c r="B780" s="10" t="s">
        <v>211</v>
      </c>
      <c r="C780" s="11" t="s">
        <v>2423</v>
      </c>
      <c r="D780" s="12" t="s">
        <v>2424</v>
      </c>
      <c r="E780" s="14"/>
      <c r="F780" s="14"/>
      <c r="G780" s="13" t="s">
        <v>16</v>
      </c>
      <c r="H780" s="20"/>
      <c r="I780" s="19">
        <f>2772*0.3</f>
        <v>831.6</v>
      </c>
      <c r="J780" s="16" t="s">
        <v>2274</v>
      </c>
    </row>
    <row r="781" ht="42.75" spans="1:10">
      <c r="A781" s="10">
        <v>779</v>
      </c>
      <c r="B781" s="10" t="s">
        <v>211</v>
      </c>
      <c r="C781" s="11" t="s">
        <v>2425</v>
      </c>
      <c r="D781" s="12" t="s">
        <v>2426</v>
      </c>
      <c r="E781" s="12" t="s">
        <v>2427</v>
      </c>
      <c r="F781" s="12" t="s">
        <v>1933</v>
      </c>
      <c r="G781" s="13" t="s">
        <v>16</v>
      </c>
      <c r="H781" s="20"/>
      <c r="I781" s="15">
        <v>2985</v>
      </c>
      <c r="J781" s="16" t="s">
        <v>2274</v>
      </c>
    </row>
    <row r="782" ht="30" spans="1:10">
      <c r="A782" s="10">
        <v>780</v>
      </c>
      <c r="B782" s="10" t="s">
        <v>211</v>
      </c>
      <c r="C782" s="11" t="s">
        <v>2428</v>
      </c>
      <c r="D782" s="12" t="s">
        <v>2429</v>
      </c>
      <c r="E782" s="14"/>
      <c r="F782" s="14"/>
      <c r="G782" s="13" t="s">
        <v>16</v>
      </c>
      <c r="H782" s="20"/>
      <c r="I782" s="19">
        <f>2985*0.3</f>
        <v>895.5</v>
      </c>
      <c r="J782" s="16" t="s">
        <v>2274</v>
      </c>
    </row>
    <row r="783" ht="42.75" spans="1:10">
      <c r="A783" s="10">
        <v>781</v>
      </c>
      <c r="B783" s="10" t="s">
        <v>211</v>
      </c>
      <c r="C783" s="11" t="s">
        <v>2430</v>
      </c>
      <c r="D783" s="12" t="s">
        <v>2431</v>
      </c>
      <c r="E783" s="12" t="s">
        <v>2432</v>
      </c>
      <c r="F783" s="12" t="s">
        <v>1933</v>
      </c>
      <c r="G783" s="13" t="s">
        <v>16</v>
      </c>
      <c r="H783" s="20"/>
      <c r="I783" s="15">
        <v>4300</v>
      </c>
      <c r="J783" s="16" t="s">
        <v>2274</v>
      </c>
    </row>
    <row r="784" ht="30" spans="1:10">
      <c r="A784" s="10">
        <v>782</v>
      </c>
      <c r="B784" s="10" t="s">
        <v>211</v>
      </c>
      <c r="C784" s="11" t="s">
        <v>2433</v>
      </c>
      <c r="D784" s="12" t="s">
        <v>2434</v>
      </c>
      <c r="E784" s="14"/>
      <c r="F784" s="14"/>
      <c r="G784" s="13" t="s">
        <v>16</v>
      </c>
      <c r="H784" s="20"/>
      <c r="I784" s="19">
        <f>4300*0.3</f>
        <v>1290</v>
      </c>
      <c r="J784" s="16" t="s">
        <v>2274</v>
      </c>
    </row>
    <row r="785" ht="42.75" spans="1:10">
      <c r="A785" s="10">
        <v>783</v>
      </c>
      <c r="B785" s="10" t="s">
        <v>211</v>
      </c>
      <c r="C785" s="11" t="s">
        <v>2435</v>
      </c>
      <c r="D785" s="12" t="s">
        <v>2436</v>
      </c>
      <c r="E785" s="12" t="s">
        <v>2437</v>
      </c>
      <c r="F785" s="12" t="s">
        <v>2438</v>
      </c>
      <c r="G785" s="13" t="s">
        <v>16</v>
      </c>
      <c r="H785" s="22" t="s">
        <v>1410</v>
      </c>
      <c r="I785" s="15">
        <v>3070.08</v>
      </c>
      <c r="J785" s="16" t="s">
        <v>2274</v>
      </c>
    </row>
    <row r="786" ht="15.75" spans="1:10">
      <c r="A786" s="10">
        <v>784</v>
      </c>
      <c r="B786" s="10" t="s">
        <v>211</v>
      </c>
      <c r="C786" s="11" t="s">
        <v>2439</v>
      </c>
      <c r="D786" s="12" t="s">
        <v>2440</v>
      </c>
      <c r="E786" s="14"/>
      <c r="F786" s="14"/>
      <c r="G786" s="13" t="s">
        <v>16</v>
      </c>
      <c r="H786" s="20"/>
      <c r="I786" s="19">
        <f>3070*0.3</f>
        <v>921</v>
      </c>
      <c r="J786" s="16" t="s">
        <v>2274</v>
      </c>
    </row>
    <row r="787" ht="61.5" spans="1:10">
      <c r="A787" s="10">
        <v>785</v>
      </c>
      <c r="B787" s="10" t="s">
        <v>211</v>
      </c>
      <c r="C787" s="11" t="s">
        <v>2441</v>
      </c>
      <c r="D787" s="12" t="s">
        <v>2442</v>
      </c>
      <c r="E787" s="12" t="s">
        <v>2443</v>
      </c>
      <c r="F787" s="12" t="s">
        <v>2444</v>
      </c>
      <c r="G787" s="13" t="s">
        <v>16</v>
      </c>
      <c r="H787" s="20" t="s">
        <v>2445</v>
      </c>
      <c r="I787" s="15">
        <v>5116.8</v>
      </c>
      <c r="J787" s="16" t="s">
        <v>2274</v>
      </c>
    </row>
    <row r="788" ht="30" spans="1:10">
      <c r="A788" s="10">
        <v>786</v>
      </c>
      <c r="B788" s="10" t="s">
        <v>211</v>
      </c>
      <c r="C788" s="11" t="s">
        <v>2446</v>
      </c>
      <c r="D788" s="12" t="s">
        <v>2447</v>
      </c>
      <c r="E788" s="14"/>
      <c r="F788" s="14"/>
      <c r="G788" s="13" t="s">
        <v>16</v>
      </c>
      <c r="H788" s="20"/>
      <c r="I788" s="19">
        <f>5117*0.3</f>
        <v>1535.1</v>
      </c>
      <c r="J788" s="16" t="s">
        <v>2274</v>
      </c>
    </row>
    <row r="789" ht="42.75" spans="1:10">
      <c r="A789" s="10">
        <v>787</v>
      </c>
      <c r="B789" s="10" t="s">
        <v>211</v>
      </c>
      <c r="C789" s="11" t="s">
        <v>2448</v>
      </c>
      <c r="D789" s="12" t="s">
        <v>2449</v>
      </c>
      <c r="E789" s="12" t="s">
        <v>2450</v>
      </c>
      <c r="F789" s="12" t="s">
        <v>1933</v>
      </c>
      <c r="G789" s="13" t="s">
        <v>369</v>
      </c>
      <c r="H789" s="20"/>
      <c r="I789" s="15">
        <v>5084</v>
      </c>
      <c r="J789" s="16" t="s">
        <v>2274</v>
      </c>
    </row>
    <row r="790" ht="30" spans="1:10">
      <c r="A790" s="10">
        <v>788</v>
      </c>
      <c r="B790" s="10" t="s">
        <v>211</v>
      </c>
      <c r="C790" s="11" t="s">
        <v>2451</v>
      </c>
      <c r="D790" s="12" t="s">
        <v>2452</v>
      </c>
      <c r="E790" s="14"/>
      <c r="F790" s="14"/>
      <c r="G790" s="13" t="s">
        <v>369</v>
      </c>
      <c r="H790" s="20"/>
      <c r="I790" s="19">
        <f>5084*0.3</f>
        <v>1525.2</v>
      </c>
      <c r="J790" s="16" t="s">
        <v>2274</v>
      </c>
    </row>
    <row r="791" ht="42.75" spans="1:10">
      <c r="A791" s="10">
        <v>789</v>
      </c>
      <c r="B791" s="10" t="s">
        <v>211</v>
      </c>
      <c r="C791" s="11" t="s">
        <v>2453</v>
      </c>
      <c r="D791" s="12" t="s">
        <v>2454</v>
      </c>
      <c r="E791" s="12" t="s">
        <v>2455</v>
      </c>
      <c r="F791" s="12" t="s">
        <v>1933</v>
      </c>
      <c r="G791" s="13" t="s">
        <v>369</v>
      </c>
      <c r="H791" s="20"/>
      <c r="I791" s="15">
        <v>4920</v>
      </c>
      <c r="J791" s="16" t="s">
        <v>2274</v>
      </c>
    </row>
    <row r="792" ht="30" spans="1:10">
      <c r="A792" s="10">
        <v>790</v>
      </c>
      <c r="B792" s="10" t="s">
        <v>211</v>
      </c>
      <c r="C792" s="11" t="s">
        <v>2456</v>
      </c>
      <c r="D792" s="12" t="s">
        <v>2457</v>
      </c>
      <c r="E792" s="14"/>
      <c r="F792" s="14"/>
      <c r="G792" s="13" t="s">
        <v>369</v>
      </c>
      <c r="H792" s="20"/>
      <c r="I792" s="19">
        <f>4920*0.3</f>
        <v>1476</v>
      </c>
      <c r="J792" s="16" t="s">
        <v>2274</v>
      </c>
    </row>
    <row r="793" ht="58.5" spans="1:10">
      <c r="A793" s="10">
        <v>791</v>
      </c>
      <c r="B793" s="10" t="s">
        <v>211</v>
      </c>
      <c r="C793" s="11" t="s">
        <v>2458</v>
      </c>
      <c r="D793" s="12" t="s">
        <v>2459</v>
      </c>
      <c r="E793" s="12" t="s">
        <v>2460</v>
      </c>
      <c r="F793" s="12" t="s">
        <v>1933</v>
      </c>
      <c r="G793" s="13" t="s">
        <v>369</v>
      </c>
      <c r="H793" s="22" t="s">
        <v>2461</v>
      </c>
      <c r="I793" s="15">
        <v>6396</v>
      </c>
      <c r="J793" s="16" t="s">
        <v>2274</v>
      </c>
    </row>
    <row r="794" ht="30" spans="1:10">
      <c r="A794" s="10">
        <v>792</v>
      </c>
      <c r="B794" s="10" t="s">
        <v>211</v>
      </c>
      <c r="C794" s="11" t="s">
        <v>2462</v>
      </c>
      <c r="D794" s="12" t="s">
        <v>2463</v>
      </c>
      <c r="E794" s="14"/>
      <c r="F794" s="14"/>
      <c r="G794" s="13" t="s">
        <v>369</v>
      </c>
      <c r="H794" s="20"/>
      <c r="I794" s="19">
        <f>6396*0.3</f>
        <v>1918.8</v>
      </c>
      <c r="J794" s="16" t="s">
        <v>2274</v>
      </c>
    </row>
    <row r="795" ht="42.75" spans="1:10">
      <c r="A795" s="10">
        <v>793</v>
      </c>
      <c r="B795" s="10" t="s">
        <v>211</v>
      </c>
      <c r="C795" s="11" t="s">
        <v>2464</v>
      </c>
      <c r="D795" s="12" t="s">
        <v>2465</v>
      </c>
      <c r="E795" s="12" t="s">
        <v>2466</v>
      </c>
      <c r="F795" s="12" t="s">
        <v>1933</v>
      </c>
      <c r="G795" s="13" t="s">
        <v>369</v>
      </c>
      <c r="H795" s="20"/>
      <c r="I795" s="15">
        <v>5727</v>
      </c>
      <c r="J795" s="16" t="s">
        <v>2274</v>
      </c>
    </row>
    <row r="796" ht="30" spans="1:10">
      <c r="A796" s="10">
        <v>794</v>
      </c>
      <c r="B796" s="10" t="s">
        <v>211</v>
      </c>
      <c r="C796" s="11" t="s">
        <v>2467</v>
      </c>
      <c r="D796" s="12" t="s">
        <v>2468</v>
      </c>
      <c r="E796" s="14"/>
      <c r="F796" s="14"/>
      <c r="G796" s="13" t="s">
        <v>369</v>
      </c>
      <c r="H796" s="20"/>
      <c r="I796" s="19">
        <f>5727*0.3</f>
        <v>1718.1</v>
      </c>
      <c r="J796" s="16" t="s">
        <v>2274</v>
      </c>
    </row>
    <row r="797" ht="58.5" spans="1:10">
      <c r="A797" s="10">
        <v>795</v>
      </c>
      <c r="B797" s="10" t="s">
        <v>211</v>
      </c>
      <c r="C797" s="11" t="s">
        <v>2469</v>
      </c>
      <c r="D797" s="12" t="s">
        <v>2470</v>
      </c>
      <c r="E797" s="12" t="s">
        <v>2471</v>
      </c>
      <c r="F797" s="12" t="s">
        <v>1933</v>
      </c>
      <c r="G797" s="13" t="s">
        <v>369</v>
      </c>
      <c r="H797" s="22" t="s">
        <v>2472</v>
      </c>
      <c r="I797" s="15">
        <v>6396</v>
      </c>
      <c r="J797" s="16" t="s">
        <v>2274</v>
      </c>
    </row>
    <row r="798" ht="30" spans="1:10">
      <c r="A798" s="10">
        <v>796</v>
      </c>
      <c r="B798" s="10" t="s">
        <v>211</v>
      </c>
      <c r="C798" s="11" t="s">
        <v>2473</v>
      </c>
      <c r="D798" s="12" t="s">
        <v>2474</v>
      </c>
      <c r="E798" s="14"/>
      <c r="F798" s="14"/>
      <c r="G798" s="13" t="s">
        <v>369</v>
      </c>
      <c r="H798" s="20"/>
      <c r="I798" s="19">
        <f>6396*0.3</f>
        <v>1918.8</v>
      </c>
      <c r="J798" s="16" t="s">
        <v>2274</v>
      </c>
    </row>
    <row r="799" ht="42.75" spans="1:10">
      <c r="A799" s="10">
        <v>797</v>
      </c>
      <c r="B799" s="10" t="s">
        <v>211</v>
      </c>
      <c r="C799" s="11" t="s">
        <v>2475</v>
      </c>
      <c r="D799" s="12" t="s">
        <v>2476</v>
      </c>
      <c r="E799" s="12" t="s">
        <v>2477</v>
      </c>
      <c r="F799" s="12" t="s">
        <v>1933</v>
      </c>
      <c r="G799" s="13" t="s">
        <v>369</v>
      </c>
      <c r="H799" s="20"/>
      <c r="I799" s="15">
        <v>4157.4</v>
      </c>
      <c r="J799" s="16" t="s">
        <v>2274</v>
      </c>
    </row>
    <row r="800" ht="30" spans="1:10">
      <c r="A800" s="10">
        <v>798</v>
      </c>
      <c r="B800" s="10" t="s">
        <v>211</v>
      </c>
      <c r="C800" s="11" t="s">
        <v>2478</v>
      </c>
      <c r="D800" s="12" t="s">
        <v>2479</v>
      </c>
      <c r="E800" s="14"/>
      <c r="F800" s="14"/>
      <c r="G800" s="13" t="s">
        <v>369</v>
      </c>
      <c r="H800" s="20"/>
      <c r="I800" s="19">
        <f>4157*0.3</f>
        <v>1247.1</v>
      </c>
      <c r="J800" s="16" t="s">
        <v>2274</v>
      </c>
    </row>
    <row r="801" ht="58.5" spans="1:10">
      <c r="A801" s="10">
        <v>799</v>
      </c>
      <c r="B801" s="10" t="s">
        <v>211</v>
      </c>
      <c r="C801" s="11" t="s">
        <v>2480</v>
      </c>
      <c r="D801" s="12" t="s">
        <v>2481</v>
      </c>
      <c r="E801" s="12" t="s">
        <v>2482</v>
      </c>
      <c r="F801" s="12" t="s">
        <v>1933</v>
      </c>
      <c r="G801" s="13" t="s">
        <v>369</v>
      </c>
      <c r="H801" s="22" t="s">
        <v>2483</v>
      </c>
      <c r="I801" s="15">
        <v>5404.62</v>
      </c>
      <c r="J801" s="16" t="s">
        <v>2274</v>
      </c>
    </row>
    <row r="802" ht="30" spans="1:10">
      <c r="A802" s="10">
        <v>800</v>
      </c>
      <c r="B802" s="10" t="s">
        <v>211</v>
      </c>
      <c r="C802" s="11" t="s">
        <v>2484</v>
      </c>
      <c r="D802" s="12" t="s">
        <v>2485</v>
      </c>
      <c r="E802" s="14"/>
      <c r="F802" s="14"/>
      <c r="G802" s="13" t="s">
        <v>369</v>
      </c>
      <c r="H802" s="20"/>
      <c r="I802" s="19">
        <f>5405*0.3</f>
        <v>1621.5</v>
      </c>
      <c r="J802" s="16" t="s">
        <v>2274</v>
      </c>
    </row>
    <row r="803" ht="42.75" spans="1:10">
      <c r="A803" s="10">
        <v>801</v>
      </c>
      <c r="B803" s="10" t="s">
        <v>211</v>
      </c>
      <c r="C803" s="11" t="s">
        <v>2486</v>
      </c>
      <c r="D803" s="12" t="s">
        <v>2487</v>
      </c>
      <c r="E803" s="12" t="s">
        <v>2488</v>
      </c>
      <c r="F803" s="12" t="s">
        <v>565</v>
      </c>
      <c r="G803" s="13" t="s">
        <v>369</v>
      </c>
      <c r="H803" s="20"/>
      <c r="I803" s="15">
        <v>4185</v>
      </c>
      <c r="J803" s="16" t="s">
        <v>2274</v>
      </c>
    </row>
    <row r="804" ht="15.75" spans="1:10">
      <c r="A804" s="10">
        <v>802</v>
      </c>
      <c r="B804" s="10" t="s">
        <v>211</v>
      </c>
      <c r="C804" s="11" t="s">
        <v>2489</v>
      </c>
      <c r="D804" s="12" t="s">
        <v>2490</v>
      </c>
      <c r="E804" s="14"/>
      <c r="F804" s="14"/>
      <c r="G804" s="13" t="s">
        <v>369</v>
      </c>
      <c r="H804" s="20"/>
      <c r="I804" s="19">
        <f>4185*0.3</f>
        <v>1255.5</v>
      </c>
      <c r="J804" s="16" t="s">
        <v>2274</v>
      </c>
    </row>
    <row r="805" ht="42.75" spans="1:10">
      <c r="A805" s="10">
        <v>803</v>
      </c>
      <c r="B805" s="10" t="s">
        <v>211</v>
      </c>
      <c r="C805" s="11" t="s">
        <v>2491</v>
      </c>
      <c r="D805" s="12" t="s">
        <v>2492</v>
      </c>
      <c r="E805" s="12" t="s">
        <v>2493</v>
      </c>
      <c r="F805" s="12" t="s">
        <v>1933</v>
      </c>
      <c r="G805" s="13" t="s">
        <v>16</v>
      </c>
      <c r="H805" s="20"/>
      <c r="I805" s="15">
        <v>4155.76</v>
      </c>
      <c r="J805" s="16" t="s">
        <v>2274</v>
      </c>
    </row>
    <row r="806" ht="30" spans="1:10">
      <c r="A806" s="10">
        <v>804</v>
      </c>
      <c r="B806" s="10" t="s">
        <v>211</v>
      </c>
      <c r="C806" s="11" t="s">
        <v>2494</v>
      </c>
      <c r="D806" s="12" t="s">
        <v>2495</v>
      </c>
      <c r="E806" s="14"/>
      <c r="F806" s="14"/>
      <c r="G806" s="13" t="s">
        <v>16</v>
      </c>
      <c r="H806" s="20"/>
      <c r="I806" s="19">
        <f>4156*0.3</f>
        <v>1246.8</v>
      </c>
      <c r="J806" s="16" t="s">
        <v>2274</v>
      </c>
    </row>
    <row r="807" ht="42.75" spans="1:10">
      <c r="A807" s="10">
        <v>805</v>
      </c>
      <c r="B807" s="10" t="s">
        <v>211</v>
      </c>
      <c r="C807" s="11" t="s">
        <v>2496</v>
      </c>
      <c r="D807" s="12" t="s">
        <v>2497</v>
      </c>
      <c r="E807" s="12" t="s">
        <v>2498</v>
      </c>
      <c r="F807" s="12" t="s">
        <v>2499</v>
      </c>
      <c r="G807" s="13" t="s">
        <v>16</v>
      </c>
      <c r="H807" s="22" t="s">
        <v>2500</v>
      </c>
      <c r="I807" s="15">
        <v>4585.44</v>
      </c>
      <c r="J807" s="16" t="s">
        <v>2274</v>
      </c>
    </row>
    <row r="808" ht="30" spans="1:10">
      <c r="A808" s="10">
        <v>806</v>
      </c>
      <c r="B808" s="10" t="s">
        <v>211</v>
      </c>
      <c r="C808" s="11" t="s">
        <v>2501</v>
      </c>
      <c r="D808" s="12" t="s">
        <v>2502</v>
      </c>
      <c r="E808" s="14"/>
      <c r="F808" s="14"/>
      <c r="G808" s="13" t="s">
        <v>16</v>
      </c>
      <c r="H808" s="20"/>
      <c r="I808" s="19">
        <f>4585*0.3</f>
        <v>1375.5</v>
      </c>
      <c r="J808" s="16" t="s">
        <v>2274</v>
      </c>
    </row>
    <row r="809" ht="42.75" spans="1:10">
      <c r="A809" s="10">
        <v>807</v>
      </c>
      <c r="B809" s="10" t="s">
        <v>211</v>
      </c>
      <c r="C809" s="11" t="s">
        <v>2503</v>
      </c>
      <c r="D809" s="12" t="s">
        <v>2504</v>
      </c>
      <c r="E809" s="12" t="s">
        <v>2505</v>
      </c>
      <c r="F809" s="12" t="s">
        <v>2506</v>
      </c>
      <c r="G809" s="13" t="s">
        <v>16</v>
      </c>
      <c r="H809" s="20"/>
      <c r="I809" s="15">
        <v>4775.68</v>
      </c>
      <c r="J809" s="16" t="s">
        <v>2274</v>
      </c>
    </row>
    <row r="810" ht="30" spans="1:10">
      <c r="A810" s="10">
        <v>808</v>
      </c>
      <c r="B810" s="10" t="s">
        <v>211</v>
      </c>
      <c r="C810" s="11" t="s">
        <v>2507</v>
      </c>
      <c r="D810" s="12" t="s">
        <v>2508</v>
      </c>
      <c r="E810" s="14"/>
      <c r="F810" s="14"/>
      <c r="G810" s="13" t="s">
        <v>16</v>
      </c>
      <c r="H810" s="20"/>
      <c r="I810" s="19">
        <f>4776*0.3</f>
        <v>1432.8</v>
      </c>
      <c r="J810" s="16" t="s">
        <v>2274</v>
      </c>
    </row>
    <row r="811" ht="44.25" spans="1:10">
      <c r="A811" s="10">
        <v>809</v>
      </c>
      <c r="B811" s="10" t="s">
        <v>211</v>
      </c>
      <c r="C811" s="11" t="s">
        <v>2509</v>
      </c>
      <c r="D811" s="12" t="s">
        <v>2510</v>
      </c>
      <c r="E811" s="12" t="s">
        <v>2511</v>
      </c>
      <c r="F811" s="12" t="s">
        <v>2506</v>
      </c>
      <c r="G811" s="13" t="s">
        <v>16</v>
      </c>
      <c r="H811" s="22" t="s">
        <v>2512</v>
      </c>
      <c r="I811" s="15">
        <v>6208.22</v>
      </c>
      <c r="J811" s="16" t="s">
        <v>2274</v>
      </c>
    </row>
    <row r="812" ht="30" spans="1:10">
      <c r="A812" s="10">
        <v>810</v>
      </c>
      <c r="B812" s="10" t="s">
        <v>211</v>
      </c>
      <c r="C812" s="11" t="s">
        <v>2513</v>
      </c>
      <c r="D812" s="22" t="s">
        <v>2514</v>
      </c>
      <c r="E812" s="14"/>
      <c r="F812" s="14"/>
      <c r="G812" s="13" t="s">
        <v>16</v>
      </c>
      <c r="H812" s="20"/>
      <c r="I812" s="19">
        <f>6208*0.3</f>
        <v>1862.4</v>
      </c>
      <c r="J812" s="16" t="s">
        <v>2274</v>
      </c>
    </row>
    <row r="813" ht="42.75" spans="1:10">
      <c r="A813" s="10">
        <v>811</v>
      </c>
      <c r="B813" s="10" t="s">
        <v>211</v>
      </c>
      <c r="C813" s="11" t="s">
        <v>2515</v>
      </c>
      <c r="D813" s="12" t="s">
        <v>2516</v>
      </c>
      <c r="E813" s="12" t="s">
        <v>2517</v>
      </c>
      <c r="F813" s="12" t="s">
        <v>2518</v>
      </c>
      <c r="G813" s="13" t="s">
        <v>16</v>
      </c>
      <c r="H813" s="22" t="s">
        <v>2500</v>
      </c>
      <c r="I813" s="15">
        <v>4719.1</v>
      </c>
      <c r="J813" s="16" t="s">
        <v>2274</v>
      </c>
    </row>
    <row r="814" ht="30" spans="1:10">
      <c r="A814" s="10">
        <v>812</v>
      </c>
      <c r="B814" s="10" t="s">
        <v>211</v>
      </c>
      <c r="C814" s="11" t="s">
        <v>2519</v>
      </c>
      <c r="D814" s="12" t="s">
        <v>2520</v>
      </c>
      <c r="E814" s="14"/>
      <c r="F814" s="14"/>
      <c r="G814" s="13" t="s">
        <v>16</v>
      </c>
      <c r="H814" s="20"/>
      <c r="I814" s="19">
        <f>4719*0.3</f>
        <v>1415.7</v>
      </c>
      <c r="J814" s="16" t="s">
        <v>2274</v>
      </c>
    </row>
    <row r="815" ht="75.75" spans="1:10">
      <c r="A815" s="10">
        <v>813</v>
      </c>
      <c r="B815" s="10" t="s">
        <v>211</v>
      </c>
      <c r="C815" s="11" t="s">
        <v>2521</v>
      </c>
      <c r="D815" s="12" t="s">
        <v>2522</v>
      </c>
      <c r="E815" s="12" t="s">
        <v>2523</v>
      </c>
      <c r="F815" s="12" t="s">
        <v>2518</v>
      </c>
      <c r="G815" s="13" t="s">
        <v>16</v>
      </c>
      <c r="H815" s="20" t="s">
        <v>2524</v>
      </c>
      <c r="I815" s="15">
        <v>5457.92</v>
      </c>
      <c r="J815" s="16" t="s">
        <v>2274</v>
      </c>
    </row>
    <row r="816" ht="30" spans="1:10">
      <c r="A816" s="10">
        <v>814</v>
      </c>
      <c r="B816" s="10" t="s">
        <v>211</v>
      </c>
      <c r="C816" s="11" t="s">
        <v>2525</v>
      </c>
      <c r="D816" s="12" t="s">
        <v>2526</v>
      </c>
      <c r="E816" s="14"/>
      <c r="F816" s="14"/>
      <c r="G816" s="13" t="s">
        <v>16</v>
      </c>
      <c r="H816" s="20"/>
      <c r="I816" s="19">
        <f>5458*0.3</f>
        <v>1637.4</v>
      </c>
      <c r="J816" s="16" t="s">
        <v>2274</v>
      </c>
    </row>
    <row r="817" ht="42.75" spans="1:10">
      <c r="A817" s="10">
        <v>815</v>
      </c>
      <c r="B817" s="10" t="s">
        <v>211</v>
      </c>
      <c r="C817" s="11" t="s">
        <v>2527</v>
      </c>
      <c r="D817" s="12" t="s">
        <v>2528</v>
      </c>
      <c r="E817" s="12" t="s">
        <v>2529</v>
      </c>
      <c r="F817" s="12" t="s">
        <v>2530</v>
      </c>
      <c r="G817" s="13" t="s">
        <v>16</v>
      </c>
      <c r="H817" s="20"/>
      <c r="I817" s="15">
        <v>2511</v>
      </c>
      <c r="J817" s="16" t="s">
        <v>2274</v>
      </c>
    </row>
    <row r="818" ht="30" spans="1:10">
      <c r="A818" s="10">
        <v>816</v>
      </c>
      <c r="B818" s="10" t="s">
        <v>211</v>
      </c>
      <c r="C818" s="11" t="s">
        <v>2531</v>
      </c>
      <c r="D818" s="12" t="s">
        <v>2532</v>
      </c>
      <c r="E818" s="14"/>
      <c r="F818" s="14"/>
      <c r="G818" s="13" t="s">
        <v>16</v>
      </c>
      <c r="H818" s="20"/>
      <c r="I818" s="19">
        <f>2511*0.3</f>
        <v>753.3</v>
      </c>
      <c r="J818" s="16" t="s">
        <v>2274</v>
      </c>
    </row>
    <row r="819" ht="44.25" spans="1:10">
      <c r="A819" s="10">
        <v>817</v>
      </c>
      <c r="B819" s="10" t="s">
        <v>211</v>
      </c>
      <c r="C819" s="11" t="s">
        <v>2533</v>
      </c>
      <c r="D819" s="12" t="s">
        <v>2534</v>
      </c>
      <c r="E819" s="12" t="s">
        <v>2535</v>
      </c>
      <c r="F819" s="12" t="s">
        <v>2536</v>
      </c>
      <c r="G819" s="13" t="s">
        <v>16</v>
      </c>
      <c r="H819" s="22" t="s">
        <v>2422</v>
      </c>
      <c r="I819" s="15">
        <v>3232.44</v>
      </c>
      <c r="J819" s="16" t="s">
        <v>2274</v>
      </c>
    </row>
    <row r="820" ht="30" spans="1:10">
      <c r="A820" s="10">
        <v>818</v>
      </c>
      <c r="B820" s="10" t="s">
        <v>211</v>
      </c>
      <c r="C820" s="11" t="s">
        <v>2537</v>
      </c>
      <c r="D820" s="12" t="s">
        <v>2538</v>
      </c>
      <c r="E820" s="14"/>
      <c r="F820" s="14"/>
      <c r="G820" s="13" t="s">
        <v>16</v>
      </c>
      <c r="H820" s="20"/>
      <c r="I820" s="19">
        <f>3232*0.3</f>
        <v>969.6</v>
      </c>
      <c r="J820" s="16" t="s">
        <v>2274</v>
      </c>
    </row>
    <row r="821" ht="42.75" spans="1:10">
      <c r="A821" s="10">
        <v>819</v>
      </c>
      <c r="B821" s="10" t="s">
        <v>211</v>
      </c>
      <c r="C821" s="11" t="s">
        <v>2539</v>
      </c>
      <c r="D821" s="12" t="s">
        <v>2540</v>
      </c>
      <c r="E821" s="12" t="s">
        <v>2541</v>
      </c>
      <c r="F821" s="12" t="s">
        <v>2542</v>
      </c>
      <c r="G821" s="13" t="s">
        <v>16</v>
      </c>
      <c r="H821" s="20"/>
      <c r="I821" s="15">
        <v>4014.72</v>
      </c>
      <c r="J821" s="16" t="s">
        <v>2274</v>
      </c>
    </row>
    <row r="822" ht="15.75" spans="1:10">
      <c r="A822" s="10">
        <v>820</v>
      </c>
      <c r="B822" s="10" t="s">
        <v>211</v>
      </c>
      <c r="C822" s="11" t="s">
        <v>2543</v>
      </c>
      <c r="D822" s="12" t="s">
        <v>2544</v>
      </c>
      <c r="E822" s="14"/>
      <c r="F822" s="14"/>
      <c r="G822" s="13" t="s">
        <v>16</v>
      </c>
      <c r="H822" s="20"/>
      <c r="I822" s="19">
        <f>4015*0.3</f>
        <v>1204.5</v>
      </c>
      <c r="J822" s="16" t="s">
        <v>2274</v>
      </c>
    </row>
    <row r="823" ht="42.75" spans="1:10">
      <c r="A823" s="10">
        <v>821</v>
      </c>
      <c r="B823" s="10" t="s">
        <v>211</v>
      </c>
      <c r="C823" s="11" t="s">
        <v>2545</v>
      </c>
      <c r="D823" s="12" t="s">
        <v>2546</v>
      </c>
      <c r="E823" s="12" t="s">
        <v>2547</v>
      </c>
      <c r="F823" s="12" t="s">
        <v>2548</v>
      </c>
      <c r="G823" s="13" t="s">
        <v>16</v>
      </c>
      <c r="H823" s="20"/>
      <c r="I823" s="15">
        <v>1300</v>
      </c>
      <c r="J823" s="16" t="s">
        <v>2274</v>
      </c>
    </row>
    <row r="824" ht="15.75" spans="1:10">
      <c r="A824" s="10">
        <v>822</v>
      </c>
      <c r="B824" s="10" t="s">
        <v>211</v>
      </c>
      <c r="C824" s="11" t="s">
        <v>2549</v>
      </c>
      <c r="D824" s="12" t="s">
        <v>2550</v>
      </c>
      <c r="E824" s="14"/>
      <c r="F824" s="14"/>
      <c r="G824" s="13" t="s">
        <v>16</v>
      </c>
      <c r="H824" s="20"/>
      <c r="I824" s="19">
        <f>1300*0.3</f>
        <v>390</v>
      </c>
      <c r="J824" s="16" t="s">
        <v>2274</v>
      </c>
    </row>
    <row r="825" ht="42.75" spans="1:10">
      <c r="A825" s="10">
        <v>823</v>
      </c>
      <c r="B825" s="10" t="s">
        <v>211</v>
      </c>
      <c r="C825" s="11" t="s">
        <v>2551</v>
      </c>
      <c r="D825" s="12" t="s">
        <v>2552</v>
      </c>
      <c r="E825" s="12" t="s">
        <v>2553</v>
      </c>
      <c r="F825" s="12" t="s">
        <v>2554</v>
      </c>
      <c r="G825" s="13" t="s">
        <v>16</v>
      </c>
      <c r="H825" s="20"/>
      <c r="I825" s="15">
        <v>3290</v>
      </c>
      <c r="J825" s="16" t="s">
        <v>2274</v>
      </c>
    </row>
    <row r="826" ht="30" spans="1:10">
      <c r="A826" s="10">
        <v>824</v>
      </c>
      <c r="B826" s="10" t="s">
        <v>211</v>
      </c>
      <c r="C826" s="11" t="s">
        <v>2555</v>
      </c>
      <c r="D826" s="12" t="s">
        <v>2556</v>
      </c>
      <c r="E826" s="14"/>
      <c r="F826" s="14"/>
      <c r="G826" s="13" t="s">
        <v>16</v>
      </c>
      <c r="H826" s="20"/>
      <c r="I826" s="19">
        <f>3290*0.3</f>
        <v>987</v>
      </c>
      <c r="J826" s="16" t="s">
        <v>2274</v>
      </c>
    </row>
    <row r="827" ht="42.75" spans="1:10">
      <c r="A827" s="10">
        <v>825</v>
      </c>
      <c r="B827" s="10" t="s">
        <v>211</v>
      </c>
      <c r="C827" s="11" t="s">
        <v>2557</v>
      </c>
      <c r="D827" s="12" t="s">
        <v>2558</v>
      </c>
      <c r="E827" s="12" t="s">
        <v>2559</v>
      </c>
      <c r="F827" s="12" t="s">
        <v>1933</v>
      </c>
      <c r="G827" s="13" t="s">
        <v>16</v>
      </c>
      <c r="H827" s="20"/>
      <c r="I827" s="15">
        <v>5400</v>
      </c>
      <c r="J827" s="16" t="s">
        <v>2274</v>
      </c>
    </row>
    <row r="828" ht="30" spans="1:10">
      <c r="A828" s="10">
        <v>826</v>
      </c>
      <c r="B828" s="10" t="s">
        <v>211</v>
      </c>
      <c r="C828" s="11" t="s">
        <v>2560</v>
      </c>
      <c r="D828" s="12" t="s">
        <v>2561</v>
      </c>
      <c r="E828" s="14"/>
      <c r="F828" s="14"/>
      <c r="G828" s="13" t="s">
        <v>16</v>
      </c>
      <c r="H828" s="20"/>
      <c r="I828" s="19">
        <f>5400*0.3</f>
        <v>1620</v>
      </c>
      <c r="J828" s="16" t="s">
        <v>2274</v>
      </c>
    </row>
    <row r="829" ht="44.25" spans="1:10">
      <c r="A829" s="10">
        <v>827</v>
      </c>
      <c r="B829" s="10" t="s">
        <v>211</v>
      </c>
      <c r="C829" s="11" t="s">
        <v>2562</v>
      </c>
      <c r="D829" s="12" t="s">
        <v>2563</v>
      </c>
      <c r="E829" s="12" t="s">
        <v>2564</v>
      </c>
      <c r="F829" s="12" t="s">
        <v>1933</v>
      </c>
      <c r="G829" s="13" t="s">
        <v>16</v>
      </c>
      <c r="H829" s="22" t="s">
        <v>2565</v>
      </c>
      <c r="I829" s="15">
        <v>5576</v>
      </c>
      <c r="J829" s="16" t="s">
        <v>2274</v>
      </c>
    </row>
    <row r="830" ht="30" spans="1:10">
      <c r="A830" s="10">
        <v>828</v>
      </c>
      <c r="B830" s="10" t="s">
        <v>211</v>
      </c>
      <c r="C830" s="11" t="s">
        <v>2566</v>
      </c>
      <c r="D830" s="12" t="s">
        <v>2567</v>
      </c>
      <c r="E830" s="14"/>
      <c r="F830" s="14"/>
      <c r="G830" s="13" t="s">
        <v>16</v>
      </c>
      <c r="H830" s="20"/>
      <c r="I830" s="19">
        <f>5576*0.3</f>
        <v>1672.8</v>
      </c>
      <c r="J830" s="16" t="s">
        <v>2274</v>
      </c>
    </row>
    <row r="831" ht="42.75" spans="1:10">
      <c r="A831" s="10">
        <v>829</v>
      </c>
      <c r="B831" s="10" t="s">
        <v>211</v>
      </c>
      <c r="C831" s="11" t="s">
        <v>2568</v>
      </c>
      <c r="D831" s="12" t="s">
        <v>2569</v>
      </c>
      <c r="E831" s="12" t="s">
        <v>2570</v>
      </c>
      <c r="F831" s="12" t="s">
        <v>2571</v>
      </c>
      <c r="G831" s="13" t="s">
        <v>16</v>
      </c>
      <c r="H831" s="20"/>
      <c r="I831" s="15">
        <v>511.68</v>
      </c>
      <c r="J831" s="16" t="s">
        <v>2274</v>
      </c>
    </row>
    <row r="832" ht="30" spans="1:10">
      <c r="A832" s="10">
        <v>830</v>
      </c>
      <c r="B832" s="10" t="s">
        <v>211</v>
      </c>
      <c r="C832" s="11" t="s">
        <v>2572</v>
      </c>
      <c r="D832" s="12" t="s">
        <v>2573</v>
      </c>
      <c r="E832" s="14"/>
      <c r="F832" s="14"/>
      <c r="G832" s="13" t="s">
        <v>16</v>
      </c>
      <c r="H832" s="20"/>
      <c r="I832" s="19">
        <f>512*0.3</f>
        <v>153.6</v>
      </c>
      <c r="J832" s="16" t="s">
        <v>2274</v>
      </c>
    </row>
    <row r="833" ht="42.75" spans="1:10">
      <c r="A833" s="10">
        <v>831</v>
      </c>
      <c r="B833" s="10" t="s">
        <v>211</v>
      </c>
      <c r="C833" s="11" t="s">
        <v>2574</v>
      </c>
      <c r="D833" s="12" t="s">
        <v>2575</v>
      </c>
      <c r="E833" s="12" t="s">
        <v>2576</v>
      </c>
      <c r="F833" s="12" t="s">
        <v>2175</v>
      </c>
      <c r="G833" s="13" t="s">
        <v>16</v>
      </c>
      <c r="H833" s="22" t="s">
        <v>2577</v>
      </c>
      <c r="I833" s="15">
        <v>2528.06</v>
      </c>
      <c r="J833" s="16" t="s">
        <v>2274</v>
      </c>
    </row>
    <row r="834" ht="30" spans="1:10">
      <c r="A834" s="10">
        <v>832</v>
      </c>
      <c r="B834" s="10" t="s">
        <v>211</v>
      </c>
      <c r="C834" s="11" t="s">
        <v>2578</v>
      </c>
      <c r="D834" s="12" t="s">
        <v>2579</v>
      </c>
      <c r="E834" s="14"/>
      <c r="F834" s="20"/>
      <c r="G834" s="13" t="s">
        <v>16</v>
      </c>
      <c r="H834" s="20"/>
      <c r="I834" s="19">
        <f>2528*0.3</f>
        <v>758.4</v>
      </c>
      <c r="J834" s="16" t="s">
        <v>2274</v>
      </c>
    </row>
    <row r="835" ht="42.75" spans="1:10">
      <c r="A835" s="10">
        <v>833</v>
      </c>
      <c r="B835" s="10" t="s">
        <v>211</v>
      </c>
      <c r="C835" s="11" t="s">
        <v>2580</v>
      </c>
      <c r="D835" s="12" t="s">
        <v>2581</v>
      </c>
      <c r="E835" s="12" t="s">
        <v>2582</v>
      </c>
      <c r="F835" s="22" t="s">
        <v>565</v>
      </c>
      <c r="G835" s="13" t="s">
        <v>16</v>
      </c>
      <c r="H835" s="22" t="s">
        <v>2583</v>
      </c>
      <c r="I835" s="15">
        <v>4696.96</v>
      </c>
      <c r="J835" s="16" t="s">
        <v>2274</v>
      </c>
    </row>
    <row r="836" ht="15.75" spans="1:10">
      <c r="A836" s="10">
        <v>834</v>
      </c>
      <c r="B836" s="10" t="s">
        <v>211</v>
      </c>
      <c r="C836" s="11" t="s">
        <v>2584</v>
      </c>
      <c r="D836" s="12" t="s">
        <v>2585</v>
      </c>
      <c r="E836" s="14"/>
      <c r="F836" s="20"/>
      <c r="G836" s="13" t="s">
        <v>16</v>
      </c>
      <c r="H836" s="20"/>
      <c r="I836" s="19">
        <f>4697*0.3</f>
        <v>1409.1</v>
      </c>
      <c r="J836" s="16" t="s">
        <v>2274</v>
      </c>
    </row>
    <row r="837" ht="42.75" spans="1:10">
      <c r="A837" s="10">
        <v>835</v>
      </c>
      <c r="B837" s="10" t="s">
        <v>211</v>
      </c>
      <c r="C837" s="11" t="s">
        <v>2586</v>
      </c>
      <c r="D837" s="12" t="s">
        <v>2587</v>
      </c>
      <c r="E837" s="12" t="s">
        <v>2588</v>
      </c>
      <c r="F837" s="22" t="s">
        <v>2589</v>
      </c>
      <c r="G837" s="13" t="s">
        <v>16</v>
      </c>
      <c r="H837" s="20"/>
      <c r="I837" s="15">
        <v>4400.12</v>
      </c>
      <c r="J837" s="16" t="s">
        <v>2274</v>
      </c>
    </row>
    <row r="838" ht="15.75" spans="1:10">
      <c r="A838" s="10">
        <v>836</v>
      </c>
      <c r="B838" s="10" t="s">
        <v>211</v>
      </c>
      <c r="C838" s="11" t="s">
        <v>2590</v>
      </c>
      <c r="D838" s="12" t="s">
        <v>2591</v>
      </c>
      <c r="E838" s="14"/>
      <c r="F838" s="20"/>
      <c r="G838" s="13" t="s">
        <v>16</v>
      </c>
      <c r="H838" s="20"/>
      <c r="I838" s="19">
        <f>4400*0.3</f>
        <v>1320</v>
      </c>
      <c r="J838" s="16" t="s">
        <v>2274</v>
      </c>
    </row>
    <row r="839" ht="42.75" spans="1:10">
      <c r="A839" s="10">
        <v>837</v>
      </c>
      <c r="B839" s="10" t="s">
        <v>211</v>
      </c>
      <c r="C839" s="11" t="s">
        <v>2592</v>
      </c>
      <c r="D839" s="12" t="s">
        <v>2593</v>
      </c>
      <c r="E839" s="12" t="s">
        <v>2594</v>
      </c>
      <c r="F839" s="22" t="s">
        <v>2595</v>
      </c>
      <c r="G839" s="13" t="s">
        <v>16</v>
      </c>
      <c r="H839" s="20"/>
      <c r="I839" s="15">
        <v>4633</v>
      </c>
      <c r="J839" s="16" t="s">
        <v>2274</v>
      </c>
    </row>
    <row r="840" ht="30" spans="1:10">
      <c r="A840" s="10">
        <v>838</v>
      </c>
      <c r="B840" s="10" t="s">
        <v>211</v>
      </c>
      <c r="C840" s="11" t="s">
        <v>2596</v>
      </c>
      <c r="D840" s="12" t="s">
        <v>2597</v>
      </c>
      <c r="E840" s="14"/>
      <c r="F840" s="20"/>
      <c r="G840" s="13" t="s">
        <v>16</v>
      </c>
      <c r="H840" s="20"/>
      <c r="I840" s="19">
        <f>4633*0.3</f>
        <v>1389.9</v>
      </c>
      <c r="J840" s="16" t="s">
        <v>2274</v>
      </c>
    </row>
    <row r="841" ht="42.75" spans="1:10">
      <c r="A841" s="10">
        <v>839</v>
      </c>
      <c r="B841" s="10" t="s">
        <v>211</v>
      </c>
      <c r="C841" s="11" t="s">
        <v>2598</v>
      </c>
      <c r="D841" s="12" t="s">
        <v>2599</v>
      </c>
      <c r="E841" s="12" t="s">
        <v>2600</v>
      </c>
      <c r="F841" s="22" t="s">
        <v>2601</v>
      </c>
      <c r="G841" s="13" t="s">
        <v>16</v>
      </c>
      <c r="H841" s="20"/>
      <c r="I841" s="15">
        <v>4600</v>
      </c>
      <c r="J841" s="16" t="s">
        <v>2274</v>
      </c>
    </row>
    <row r="842" ht="30" spans="1:10">
      <c r="A842" s="10">
        <v>840</v>
      </c>
      <c r="B842" s="10" t="s">
        <v>211</v>
      </c>
      <c r="C842" s="11" t="s">
        <v>2602</v>
      </c>
      <c r="D842" s="22" t="s">
        <v>2603</v>
      </c>
      <c r="E842" s="20"/>
      <c r="F842" s="20"/>
      <c r="G842" s="13" t="s">
        <v>16</v>
      </c>
      <c r="H842" s="20"/>
      <c r="I842" s="19">
        <f>4600*0.3</f>
        <v>1380</v>
      </c>
      <c r="J842" s="16" t="s">
        <v>2274</v>
      </c>
    </row>
    <row r="843" ht="44.25" spans="1:10">
      <c r="A843" s="10">
        <v>841</v>
      </c>
      <c r="B843" s="10" t="s">
        <v>211</v>
      </c>
      <c r="C843" s="11" t="s">
        <v>2604</v>
      </c>
      <c r="D843" s="22" t="s">
        <v>2605</v>
      </c>
      <c r="E843" s="22" t="s">
        <v>2606</v>
      </c>
      <c r="F843" s="22" t="s">
        <v>1015</v>
      </c>
      <c r="G843" s="27" t="s">
        <v>16</v>
      </c>
      <c r="H843" s="22" t="s">
        <v>2607</v>
      </c>
      <c r="I843" s="15">
        <v>1700</v>
      </c>
      <c r="J843" s="16" t="s">
        <v>2274</v>
      </c>
    </row>
    <row r="844" ht="30" spans="1:10">
      <c r="A844" s="10">
        <v>842</v>
      </c>
      <c r="B844" s="10" t="s">
        <v>211</v>
      </c>
      <c r="C844" s="11" t="s">
        <v>2608</v>
      </c>
      <c r="D844" s="22" t="s">
        <v>2609</v>
      </c>
      <c r="E844" s="20"/>
      <c r="F844" s="20"/>
      <c r="G844" s="27" t="s">
        <v>16</v>
      </c>
      <c r="H844" s="20"/>
      <c r="I844" s="19">
        <f>1700*0.3</f>
        <v>510</v>
      </c>
      <c r="J844" s="16" t="s">
        <v>2274</v>
      </c>
    </row>
    <row r="845" ht="30" spans="1:10">
      <c r="A845" s="10">
        <v>843</v>
      </c>
      <c r="B845" s="10" t="s">
        <v>211</v>
      </c>
      <c r="C845" s="11" t="s">
        <v>2610</v>
      </c>
      <c r="D845" s="22" t="s">
        <v>2611</v>
      </c>
      <c r="E845" s="20"/>
      <c r="F845" s="20"/>
      <c r="G845" s="27" t="s">
        <v>16</v>
      </c>
      <c r="H845" s="20"/>
      <c r="I845" s="15">
        <v>1700</v>
      </c>
      <c r="J845" s="16" t="s">
        <v>2274</v>
      </c>
    </row>
    <row r="846" ht="42.75" spans="1:10">
      <c r="A846" s="10">
        <v>844</v>
      </c>
      <c r="B846" s="10" t="s">
        <v>211</v>
      </c>
      <c r="C846" s="11" t="s">
        <v>2612</v>
      </c>
      <c r="D846" s="22" t="s">
        <v>2613</v>
      </c>
      <c r="E846" s="22" t="s">
        <v>2614</v>
      </c>
      <c r="F846" s="22" t="s">
        <v>2615</v>
      </c>
      <c r="G846" s="27" t="s">
        <v>16</v>
      </c>
      <c r="H846" s="22" t="s">
        <v>2616</v>
      </c>
      <c r="I846" s="15">
        <v>3922.88</v>
      </c>
      <c r="J846" s="16" t="s">
        <v>2274</v>
      </c>
    </row>
    <row r="847" ht="30" spans="1:10">
      <c r="A847" s="10">
        <v>845</v>
      </c>
      <c r="B847" s="10" t="s">
        <v>211</v>
      </c>
      <c r="C847" s="11" t="s">
        <v>2617</v>
      </c>
      <c r="D847" s="22" t="s">
        <v>2618</v>
      </c>
      <c r="E847" s="20"/>
      <c r="F847" s="20"/>
      <c r="G847" s="27" t="s">
        <v>16</v>
      </c>
      <c r="H847" s="20"/>
      <c r="I847" s="19">
        <f>3923*0.3</f>
        <v>1176.9</v>
      </c>
      <c r="J847" s="16" t="s">
        <v>2274</v>
      </c>
    </row>
    <row r="848" ht="42.75" spans="1:10">
      <c r="A848" s="10">
        <v>846</v>
      </c>
      <c r="B848" s="10" t="s">
        <v>211</v>
      </c>
      <c r="C848" s="11" t="s">
        <v>2619</v>
      </c>
      <c r="D848" s="22" t="s">
        <v>2620</v>
      </c>
      <c r="E848" s="22" t="s">
        <v>2621</v>
      </c>
      <c r="F848" s="22" t="s">
        <v>1933</v>
      </c>
      <c r="G848" s="27" t="s">
        <v>16</v>
      </c>
      <c r="H848" s="20"/>
      <c r="I848" s="15">
        <v>4817</v>
      </c>
      <c r="J848" s="16" t="s">
        <v>2274</v>
      </c>
    </row>
    <row r="849" ht="30" spans="1:10">
      <c r="A849" s="10">
        <v>847</v>
      </c>
      <c r="B849" s="10" t="s">
        <v>211</v>
      </c>
      <c r="C849" s="11" t="s">
        <v>2622</v>
      </c>
      <c r="D849" s="12" t="s">
        <v>2623</v>
      </c>
      <c r="E849" s="14"/>
      <c r="F849" s="14"/>
      <c r="G849" s="27" t="s">
        <v>16</v>
      </c>
      <c r="H849" s="14"/>
      <c r="I849" s="19">
        <f>4817*0.3</f>
        <v>1445.1</v>
      </c>
      <c r="J849" s="16" t="s">
        <v>2274</v>
      </c>
    </row>
    <row r="850" ht="42.75" spans="1:10">
      <c r="A850" s="10">
        <v>848</v>
      </c>
      <c r="B850" s="11" t="s">
        <v>11</v>
      </c>
      <c r="C850" s="11" t="s">
        <v>2624</v>
      </c>
      <c r="D850" s="12" t="s">
        <v>2625</v>
      </c>
      <c r="E850" s="12" t="s">
        <v>2626</v>
      </c>
      <c r="F850" s="12" t="s">
        <v>2627</v>
      </c>
      <c r="G850" s="13" t="s">
        <v>2628</v>
      </c>
      <c r="H850" s="14" t="s">
        <v>2629</v>
      </c>
      <c r="I850" s="15">
        <v>2600</v>
      </c>
      <c r="J850" s="16" t="s">
        <v>2630</v>
      </c>
    </row>
    <row r="851" ht="90" spans="1:10">
      <c r="A851" s="10">
        <v>849</v>
      </c>
      <c r="B851" s="11" t="s">
        <v>11</v>
      </c>
      <c r="C851" s="11" t="s">
        <v>2631</v>
      </c>
      <c r="D851" s="12" t="s">
        <v>2632</v>
      </c>
      <c r="E851" s="12" t="s">
        <v>2633</v>
      </c>
      <c r="F851" s="12" t="s">
        <v>2627</v>
      </c>
      <c r="G851" s="13" t="s">
        <v>2628</v>
      </c>
      <c r="H851" s="14" t="s">
        <v>2634</v>
      </c>
      <c r="I851" s="15">
        <v>4500</v>
      </c>
      <c r="J851" s="16" t="s">
        <v>2630</v>
      </c>
    </row>
    <row r="852" ht="42.75" spans="1:10">
      <c r="A852" s="10">
        <v>850</v>
      </c>
      <c r="B852" s="11" t="s">
        <v>11</v>
      </c>
      <c r="C852" s="11" t="s">
        <v>2635</v>
      </c>
      <c r="D852" s="12" t="s">
        <v>2636</v>
      </c>
      <c r="E852" s="12" t="s">
        <v>2637</v>
      </c>
      <c r="F852" s="12" t="s">
        <v>2627</v>
      </c>
      <c r="G852" s="13" t="s">
        <v>2628</v>
      </c>
      <c r="H852" s="14" t="s">
        <v>2629</v>
      </c>
      <c r="I852" s="15">
        <v>7650</v>
      </c>
      <c r="J852" s="16" t="s">
        <v>2630</v>
      </c>
    </row>
    <row r="853" ht="138.75" spans="1:10">
      <c r="A853" s="10">
        <v>851</v>
      </c>
      <c r="B853" s="11" t="s">
        <v>11</v>
      </c>
      <c r="C853" s="11" t="s">
        <v>2638</v>
      </c>
      <c r="D853" s="12" t="s">
        <v>2639</v>
      </c>
      <c r="E853" s="12" t="s">
        <v>2640</v>
      </c>
      <c r="F853" s="12" t="s">
        <v>2627</v>
      </c>
      <c r="G853" s="13" t="s">
        <v>2628</v>
      </c>
      <c r="H853" s="14" t="s">
        <v>2641</v>
      </c>
      <c r="I853" s="15">
        <v>11475</v>
      </c>
      <c r="J853" s="16" t="s">
        <v>2630</v>
      </c>
    </row>
    <row r="854" ht="42.75" spans="1:10">
      <c r="A854" s="10">
        <v>852</v>
      </c>
      <c r="B854" s="11" t="s">
        <v>11</v>
      </c>
      <c r="C854" s="11" t="s">
        <v>2642</v>
      </c>
      <c r="D854" s="12" t="s">
        <v>2643</v>
      </c>
      <c r="E854" s="12" t="s">
        <v>2644</v>
      </c>
      <c r="F854" s="12" t="s">
        <v>2627</v>
      </c>
      <c r="G854" s="13" t="s">
        <v>2628</v>
      </c>
      <c r="H854" s="14" t="s">
        <v>2629</v>
      </c>
      <c r="I854" s="15">
        <v>8500</v>
      </c>
      <c r="J854" s="16" t="s">
        <v>2630</v>
      </c>
    </row>
    <row r="855" ht="123" spans="1:10">
      <c r="A855" s="10">
        <v>853</v>
      </c>
      <c r="B855" s="11" t="s">
        <v>11</v>
      </c>
      <c r="C855" s="11" t="s">
        <v>2645</v>
      </c>
      <c r="D855" s="12" t="s">
        <v>2646</v>
      </c>
      <c r="E855" s="12" t="s">
        <v>2647</v>
      </c>
      <c r="F855" s="12" t="s">
        <v>2627</v>
      </c>
      <c r="G855" s="13" t="s">
        <v>2628</v>
      </c>
      <c r="H855" s="14" t="s">
        <v>2648</v>
      </c>
      <c r="I855" s="15">
        <v>12750</v>
      </c>
      <c r="J855" s="16" t="s">
        <v>2630</v>
      </c>
    </row>
    <row r="856" ht="42.75" spans="1:10">
      <c r="A856" s="10">
        <v>854</v>
      </c>
      <c r="B856" s="11" t="s">
        <v>11</v>
      </c>
      <c r="C856" s="11" t="s">
        <v>2649</v>
      </c>
      <c r="D856" s="12" t="s">
        <v>2650</v>
      </c>
      <c r="E856" s="12" t="s">
        <v>2651</v>
      </c>
      <c r="F856" s="12" t="s">
        <v>2627</v>
      </c>
      <c r="G856" s="13" t="s">
        <v>2628</v>
      </c>
      <c r="H856" s="14" t="s">
        <v>2629</v>
      </c>
      <c r="I856" s="15">
        <v>10200</v>
      </c>
      <c r="J856" s="16" t="s">
        <v>2630</v>
      </c>
    </row>
    <row r="857" ht="121.5" spans="1:10">
      <c r="A857" s="10">
        <v>855</v>
      </c>
      <c r="B857" s="11" t="s">
        <v>11</v>
      </c>
      <c r="C857" s="11" t="s">
        <v>2652</v>
      </c>
      <c r="D857" s="12" t="s">
        <v>2653</v>
      </c>
      <c r="E857" s="12" t="s">
        <v>2654</v>
      </c>
      <c r="F857" s="12" t="s">
        <v>2627</v>
      </c>
      <c r="G857" s="13" t="s">
        <v>2628</v>
      </c>
      <c r="H857" s="14" t="s">
        <v>2655</v>
      </c>
      <c r="I857" s="15">
        <v>15300</v>
      </c>
      <c r="J857" s="16" t="s">
        <v>2630</v>
      </c>
    </row>
    <row r="858" ht="90" spans="1:10">
      <c r="A858" s="10">
        <v>856</v>
      </c>
      <c r="B858" s="11" t="s">
        <v>11</v>
      </c>
      <c r="C858" s="11" t="s">
        <v>2656</v>
      </c>
      <c r="D858" s="12" t="s">
        <v>2657</v>
      </c>
      <c r="E858" s="12" t="s">
        <v>2658</v>
      </c>
      <c r="F858" s="12" t="s">
        <v>2627</v>
      </c>
      <c r="G858" s="13" t="s">
        <v>2628</v>
      </c>
      <c r="H858" s="14" t="s">
        <v>2659</v>
      </c>
      <c r="I858" s="15">
        <v>17000</v>
      </c>
      <c r="J858" s="16" t="s">
        <v>2630</v>
      </c>
    </row>
    <row r="859" ht="210" spans="1:10">
      <c r="A859" s="10">
        <v>857</v>
      </c>
      <c r="B859" s="11" t="s">
        <v>11</v>
      </c>
      <c r="C859" s="11" t="s">
        <v>2660</v>
      </c>
      <c r="D859" s="12" t="s">
        <v>2661</v>
      </c>
      <c r="E859" s="12" t="s">
        <v>2662</v>
      </c>
      <c r="F859" s="12" t="s">
        <v>2627</v>
      </c>
      <c r="G859" s="13" t="s">
        <v>2628</v>
      </c>
      <c r="H859" s="14" t="s">
        <v>2663</v>
      </c>
      <c r="I859" s="15">
        <v>25415</v>
      </c>
      <c r="J859" s="16" t="s">
        <v>2630</v>
      </c>
    </row>
    <row r="860" ht="90" spans="1:10">
      <c r="A860" s="10">
        <v>858</v>
      </c>
      <c r="B860" s="11" t="s">
        <v>11</v>
      </c>
      <c r="C860" s="11" t="s">
        <v>2664</v>
      </c>
      <c r="D860" s="12" t="s">
        <v>2665</v>
      </c>
      <c r="E860" s="12" t="s">
        <v>2666</v>
      </c>
      <c r="F860" s="12" t="s">
        <v>2627</v>
      </c>
      <c r="G860" s="13" t="s">
        <v>2628</v>
      </c>
      <c r="H860" s="14" t="s">
        <v>2659</v>
      </c>
      <c r="I860" s="15">
        <v>22100</v>
      </c>
      <c r="J860" s="16" t="s">
        <v>2630</v>
      </c>
    </row>
    <row r="861" ht="240" spans="1:10">
      <c r="A861" s="10">
        <v>859</v>
      </c>
      <c r="B861" s="11" t="s">
        <v>11</v>
      </c>
      <c r="C861" s="11" t="s">
        <v>2667</v>
      </c>
      <c r="D861" s="12" t="s">
        <v>2668</v>
      </c>
      <c r="E861" s="12" t="s">
        <v>2669</v>
      </c>
      <c r="F861" s="12" t="s">
        <v>2627</v>
      </c>
      <c r="G861" s="13" t="s">
        <v>2628</v>
      </c>
      <c r="H861" s="14" t="s">
        <v>2670</v>
      </c>
      <c r="I861" s="15">
        <v>33150</v>
      </c>
      <c r="J861" s="16" t="s">
        <v>2630</v>
      </c>
    </row>
    <row r="862" ht="90" spans="1:10">
      <c r="A862" s="10">
        <v>860</v>
      </c>
      <c r="B862" s="11" t="s">
        <v>11</v>
      </c>
      <c r="C862" s="11" t="s">
        <v>2671</v>
      </c>
      <c r="D862" s="12" t="s">
        <v>2672</v>
      </c>
      <c r="E862" s="12" t="s">
        <v>2673</v>
      </c>
      <c r="F862" s="12" t="s">
        <v>2627</v>
      </c>
      <c r="G862" s="13" t="s">
        <v>2628</v>
      </c>
      <c r="H862" s="14" t="s">
        <v>2659</v>
      </c>
      <c r="I862" s="15">
        <v>22100</v>
      </c>
      <c r="J862" s="16" t="s">
        <v>2630</v>
      </c>
    </row>
    <row r="863" ht="241.5" spans="1:10">
      <c r="A863" s="10">
        <v>861</v>
      </c>
      <c r="B863" s="11" t="s">
        <v>11</v>
      </c>
      <c r="C863" s="11" t="s">
        <v>2674</v>
      </c>
      <c r="D863" s="12" t="s">
        <v>2675</v>
      </c>
      <c r="E863" s="12" t="s">
        <v>2676</v>
      </c>
      <c r="F863" s="12" t="s">
        <v>2627</v>
      </c>
      <c r="G863" s="13" t="s">
        <v>2628</v>
      </c>
      <c r="H863" s="14" t="s">
        <v>2677</v>
      </c>
      <c r="I863" s="15">
        <v>32300</v>
      </c>
      <c r="J863" s="16" t="s">
        <v>2630</v>
      </c>
    </row>
    <row r="864" ht="44.25" spans="1:10">
      <c r="A864" s="10">
        <v>862</v>
      </c>
      <c r="B864" s="11" t="s">
        <v>11</v>
      </c>
      <c r="C864" s="11" t="s">
        <v>2678</v>
      </c>
      <c r="D864" s="12" t="s">
        <v>2679</v>
      </c>
      <c r="E864" s="12" t="s">
        <v>2680</v>
      </c>
      <c r="F864" s="12" t="s">
        <v>2627</v>
      </c>
      <c r="G864" s="13" t="s">
        <v>2628</v>
      </c>
      <c r="H864" s="14" t="s">
        <v>2681</v>
      </c>
      <c r="I864" s="15">
        <v>7650</v>
      </c>
      <c r="J864" s="16" t="s">
        <v>2630</v>
      </c>
    </row>
    <row r="865" ht="42.75" spans="1:10">
      <c r="A865" s="10">
        <v>863</v>
      </c>
      <c r="B865" s="11" t="s">
        <v>11</v>
      </c>
      <c r="C865" s="11" t="s">
        <v>2682</v>
      </c>
      <c r="D865" s="12" t="s">
        <v>2683</v>
      </c>
      <c r="E865" s="12" t="s">
        <v>2684</v>
      </c>
      <c r="F865" s="12" t="s">
        <v>2627</v>
      </c>
      <c r="G865" s="13" t="s">
        <v>2628</v>
      </c>
      <c r="H865" s="14" t="s">
        <v>2681</v>
      </c>
      <c r="I865" s="15">
        <v>8500</v>
      </c>
      <c r="J865" s="16" t="s">
        <v>2630</v>
      </c>
    </row>
    <row r="866" ht="44.25" spans="1:10">
      <c r="A866" s="10">
        <v>864</v>
      </c>
      <c r="B866" s="11" t="s">
        <v>11</v>
      </c>
      <c r="C866" s="11" t="s">
        <v>2685</v>
      </c>
      <c r="D866" s="12" t="s">
        <v>2686</v>
      </c>
      <c r="E866" s="12" t="s">
        <v>2687</v>
      </c>
      <c r="F866" s="12" t="s">
        <v>2627</v>
      </c>
      <c r="G866" s="13" t="s">
        <v>2628</v>
      </c>
      <c r="H866" s="14" t="s">
        <v>2681</v>
      </c>
      <c r="I866" s="15">
        <v>10200</v>
      </c>
      <c r="J866" s="16" t="s">
        <v>2630</v>
      </c>
    </row>
    <row r="867" ht="42.75" spans="1:10">
      <c r="A867" s="10">
        <v>865</v>
      </c>
      <c r="B867" s="11" t="s">
        <v>11</v>
      </c>
      <c r="C867" s="11" t="s">
        <v>2688</v>
      </c>
      <c r="D867" s="12" t="s">
        <v>2689</v>
      </c>
      <c r="E867" s="12" t="s">
        <v>2690</v>
      </c>
      <c r="F867" s="12" t="s">
        <v>2691</v>
      </c>
      <c r="G867" s="13" t="s">
        <v>2628</v>
      </c>
      <c r="H867" s="14"/>
      <c r="I867" s="19">
        <v>2200</v>
      </c>
      <c r="J867" s="16" t="s">
        <v>2630</v>
      </c>
    </row>
    <row r="868" ht="42.75" spans="1:10">
      <c r="A868" s="10">
        <v>866</v>
      </c>
      <c r="B868" s="11" t="s">
        <v>11</v>
      </c>
      <c r="C868" s="11" t="s">
        <v>2692</v>
      </c>
      <c r="D868" s="12" t="s">
        <v>2693</v>
      </c>
      <c r="E868" s="12" t="s">
        <v>2694</v>
      </c>
      <c r="F868" s="12" t="s">
        <v>2695</v>
      </c>
      <c r="G868" s="13" t="s">
        <v>2628</v>
      </c>
      <c r="H868" s="14"/>
      <c r="I868" s="15">
        <v>8000</v>
      </c>
      <c r="J868" s="16" t="s">
        <v>2630</v>
      </c>
    </row>
    <row r="869" ht="60" spans="1:10">
      <c r="A869" s="10">
        <v>867</v>
      </c>
      <c r="B869" s="11" t="s">
        <v>11</v>
      </c>
      <c r="C869" s="11" t="s">
        <v>2696</v>
      </c>
      <c r="D869" s="12" t="s">
        <v>2697</v>
      </c>
      <c r="E869" s="12" t="s">
        <v>2698</v>
      </c>
      <c r="F869" s="12" t="s">
        <v>2627</v>
      </c>
      <c r="G869" s="13" t="s">
        <v>2699</v>
      </c>
      <c r="H869" s="14" t="s">
        <v>2700</v>
      </c>
      <c r="I869" s="15">
        <v>5900</v>
      </c>
      <c r="J869" s="16" t="s">
        <v>2630</v>
      </c>
    </row>
    <row r="870" ht="42.75" spans="1:10">
      <c r="A870" s="10">
        <v>868</v>
      </c>
      <c r="B870" s="11" t="s">
        <v>11</v>
      </c>
      <c r="C870" s="11" t="s">
        <v>2701</v>
      </c>
      <c r="D870" s="12" t="s">
        <v>2702</v>
      </c>
      <c r="E870" s="12" t="s">
        <v>2703</v>
      </c>
      <c r="F870" s="12" t="s">
        <v>2704</v>
      </c>
      <c r="G870" s="13" t="s">
        <v>2705</v>
      </c>
      <c r="H870" s="12" t="s">
        <v>2706</v>
      </c>
      <c r="I870" s="15">
        <v>600</v>
      </c>
      <c r="J870" s="16" t="s">
        <v>2630</v>
      </c>
    </row>
    <row r="871" ht="28.5" spans="1:10">
      <c r="A871" s="10">
        <v>869</v>
      </c>
      <c r="B871" s="11" t="s">
        <v>11</v>
      </c>
      <c r="C871" s="11" t="s">
        <v>2707</v>
      </c>
      <c r="D871" s="12" t="s">
        <v>2708</v>
      </c>
      <c r="E871" s="12" t="s">
        <v>2709</v>
      </c>
      <c r="F871" s="12" t="s">
        <v>2710</v>
      </c>
      <c r="G871" s="13" t="s">
        <v>2705</v>
      </c>
      <c r="H871" s="14"/>
      <c r="I871" s="15">
        <v>300</v>
      </c>
      <c r="J871" s="16" t="s">
        <v>2630</v>
      </c>
    </row>
    <row r="872" ht="75.75" spans="1:10">
      <c r="A872" s="10">
        <v>870</v>
      </c>
      <c r="B872" s="11" t="s">
        <v>11</v>
      </c>
      <c r="C872" s="11" t="s">
        <v>2711</v>
      </c>
      <c r="D872" s="12" t="s">
        <v>2712</v>
      </c>
      <c r="E872" s="12" t="s">
        <v>2713</v>
      </c>
      <c r="F872" s="12" t="s">
        <v>2714</v>
      </c>
      <c r="G872" s="13" t="s">
        <v>16</v>
      </c>
      <c r="H872" s="14" t="s">
        <v>2715</v>
      </c>
      <c r="I872" s="15">
        <v>1000</v>
      </c>
      <c r="J872" s="16" t="s">
        <v>2630</v>
      </c>
    </row>
    <row r="873" ht="42.75" spans="1:10">
      <c r="A873" s="10">
        <v>871</v>
      </c>
      <c r="B873" s="11" t="s">
        <v>211</v>
      </c>
      <c r="C873" s="11" t="s">
        <v>2716</v>
      </c>
      <c r="D873" s="12" t="s">
        <v>2717</v>
      </c>
      <c r="E873" s="12" t="s">
        <v>2718</v>
      </c>
      <c r="F873" s="12" t="s">
        <v>2719</v>
      </c>
      <c r="G873" s="13" t="s">
        <v>2720</v>
      </c>
      <c r="H873" s="14"/>
      <c r="I873" s="15">
        <v>350</v>
      </c>
      <c r="J873" s="16" t="s">
        <v>2630</v>
      </c>
    </row>
    <row r="874" ht="30" spans="1:10">
      <c r="A874" s="10">
        <v>872</v>
      </c>
      <c r="B874" s="11" t="s">
        <v>211</v>
      </c>
      <c r="C874" s="11" t="s">
        <v>2721</v>
      </c>
      <c r="D874" s="12" t="s">
        <v>2722</v>
      </c>
      <c r="E874" s="14"/>
      <c r="F874" s="14"/>
      <c r="G874" s="13" t="s">
        <v>2720</v>
      </c>
      <c r="H874" s="43"/>
      <c r="I874" s="78">
        <f>350*0.3</f>
        <v>105</v>
      </c>
      <c r="J874" s="16" t="s">
        <v>2630</v>
      </c>
    </row>
    <row r="875" ht="42.75" spans="1:10">
      <c r="A875" s="10">
        <v>873</v>
      </c>
      <c r="B875" s="11" t="s">
        <v>11</v>
      </c>
      <c r="C875" s="11" t="s">
        <v>2723</v>
      </c>
      <c r="D875" s="12" t="s">
        <v>2724</v>
      </c>
      <c r="E875" s="12" t="s">
        <v>2725</v>
      </c>
      <c r="F875" s="12" t="s">
        <v>2726</v>
      </c>
      <c r="G875" s="27" t="s">
        <v>2727</v>
      </c>
      <c r="H875" s="43"/>
      <c r="I875" s="15">
        <v>243.54</v>
      </c>
      <c r="J875" s="16" t="s">
        <v>2630</v>
      </c>
    </row>
    <row r="876" ht="28.5" spans="1:10">
      <c r="A876" s="10">
        <v>874</v>
      </c>
      <c r="B876" s="11" t="s">
        <v>177</v>
      </c>
      <c r="C876" s="11" t="s">
        <v>2728</v>
      </c>
      <c r="D876" s="12" t="s">
        <v>2729</v>
      </c>
      <c r="E876" s="12" t="s">
        <v>2730</v>
      </c>
      <c r="F876" s="12" t="s">
        <v>2731</v>
      </c>
      <c r="G876" s="13" t="s">
        <v>2727</v>
      </c>
      <c r="H876" s="14"/>
      <c r="I876" s="15">
        <v>3</v>
      </c>
      <c r="J876" s="16" t="s">
        <v>2630</v>
      </c>
    </row>
    <row r="877" ht="28.5" spans="1:10">
      <c r="A877" s="10">
        <v>875</v>
      </c>
      <c r="B877" s="11" t="s">
        <v>11</v>
      </c>
      <c r="C877" s="11" t="s">
        <v>2732</v>
      </c>
      <c r="D877" s="12" t="s">
        <v>2733</v>
      </c>
      <c r="E877" s="12" t="s">
        <v>2734</v>
      </c>
      <c r="F877" s="12" t="s">
        <v>2735</v>
      </c>
      <c r="G877" s="13" t="s">
        <v>16</v>
      </c>
      <c r="H877" s="14"/>
      <c r="I877" s="15">
        <v>32.8</v>
      </c>
      <c r="J877" s="16" t="s">
        <v>2630</v>
      </c>
    </row>
    <row r="878" ht="57" spans="1:10">
      <c r="A878" s="10">
        <v>876</v>
      </c>
      <c r="B878" s="11" t="s">
        <v>11</v>
      </c>
      <c r="C878" s="11" t="s">
        <v>2736</v>
      </c>
      <c r="D878" s="12" t="s">
        <v>2737</v>
      </c>
      <c r="E878" s="22" t="s">
        <v>2738</v>
      </c>
      <c r="F878" s="12" t="s">
        <v>2739</v>
      </c>
      <c r="G878" s="13" t="s">
        <v>2727</v>
      </c>
      <c r="H878" s="12" t="s">
        <v>2740</v>
      </c>
      <c r="I878" s="15">
        <v>116.44</v>
      </c>
      <c r="J878" s="16" t="s">
        <v>2630</v>
      </c>
    </row>
    <row r="879" ht="30" spans="1:10">
      <c r="A879" s="10">
        <v>877</v>
      </c>
      <c r="B879" s="11" t="s">
        <v>11</v>
      </c>
      <c r="C879" s="11" t="s">
        <v>2741</v>
      </c>
      <c r="D879" s="12" t="s">
        <v>2742</v>
      </c>
      <c r="E879" s="14"/>
      <c r="F879" s="14"/>
      <c r="G879" s="13" t="s">
        <v>2727</v>
      </c>
      <c r="H879" s="14"/>
      <c r="I879" s="78">
        <f>116*0.3</f>
        <v>34.8</v>
      </c>
      <c r="J879" s="16" t="s">
        <v>2630</v>
      </c>
    </row>
    <row r="880" ht="28.5" spans="1:10">
      <c r="A880" s="10">
        <v>878</v>
      </c>
      <c r="B880" s="11" t="s">
        <v>11</v>
      </c>
      <c r="C880" s="11" t="s">
        <v>2743</v>
      </c>
      <c r="D880" s="12" t="s">
        <v>2744</v>
      </c>
      <c r="E880" s="12" t="s">
        <v>2745</v>
      </c>
      <c r="F880" s="12" t="s">
        <v>2746</v>
      </c>
      <c r="G880" s="13" t="s">
        <v>2727</v>
      </c>
      <c r="H880" s="14"/>
      <c r="I880" s="15">
        <v>24.087947231661</v>
      </c>
      <c r="J880" s="16" t="s">
        <v>2630</v>
      </c>
    </row>
    <row r="881" ht="15.75" spans="1:10">
      <c r="A881" s="10">
        <v>879</v>
      </c>
      <c r="B881" s="11" t="s">
        <v>11</v>
      </c>
      <c r="C881" s="11" t="s">
        <v>2747</v>
      </c>
      <c r="D881" s="12" t="s">
        <v>2748</v>
      </c>
      <c r="E881" s="14"/>
      <c r="F881" s="14"/>
      <c r="G881" s="13" t="s">
        <v>2727</v>
      </c>
      <c r="H881" s="14"/>
      <c r="I881" s="78">
        <f>24*0.3</f>
        <v>7.2</v>
      </c>
      <c r="J881" s="16" t="s">
        <v>2630</v>
      </c>
    </row>
    <row r="882" ht="42.75" spans="1:10">
      <c r="A882" s="10">
        <v>880</v>
      </c>
      <c r="B882" s="11" t="s">
        <v>11</v>
      </c>
      <c r="C882" s="11" t="s">
        <v>2749</v>
      </c>
      <c r="D882" s="12" t="s">
        <v>2750</v>
      </c>
      <c r="E882" s="12" t="s">
        <v>2751</v>
      </c>
      <c r="F882" s="12" t="s">
        <v>2752</v>
      </c>
      <c r="G882" s="13" t="s">
        <v>2727</v>
      </c>
      <c r="H882" s="14"/>
      <c r="I882" s="15">
        <v>10</v>
      </c>
      <c r="J882" s="16" t="s">
        <v>2630</v>
      </c>
    </row>
    <row r="883" ht="44.25" spans="1:10">
      <c r="A883" s="10">
        <v>881</v>
      </c>
      <c r="B883" s="11" t="s">
        <v>11</v>
      </c>
      <c r="C883" s="11" t="s">
        <v>2753</v>
      </c>
      <c r="D883" s="12" t="s">
        <v>2754</v>
      </c>
      <c r="E883" s="12" t="s">
        <v>2755</v>
      </c>
      <c r="F883" s="12" t="s">
        <v>2756</v>
      </c>
      <c r="G883" s="13" t="s">
        <v>2757</v>
      </c>
      <c r="H883" s="12" t="s">
        <v>2758</v>
      </c>
      <c r="I883" s="15">
        <v>147.6</v>
      </c>
      <c r="J883" s="16" t="s">
        <v>2630</v>
      </c>
    </row>
    <row r="884" ht="15.75" spans="1:10">
      <c r="A884" s="10">
        <v>882</v>
      </c>
      <c r="B884" s="11" t="s">
        <v>11</v>
      </c>
      <c r="C884" s="11" t="s">
        <v>2759</v>
      </c>
      <c r="D884" s="12" t="s">
        <v>2760</v>
      </c>
      <c r="E884" s="14"/>
      <c r="F884" s="14"/>
      <c r="G884" s="13" t="s">
        <v>2757</v>
      </c>
      <c r="H884" s="14"/>
      <c r="I884" s="78">
        <f>148*0.3</f>
        <v>44.4</v>
      </c>
      <c r="J884" s="16" t="s">
        <v>2630</v>
      </c>
    </row>
    <row r="885" ht="44.25" spans="1:10">
      <c r="A885" s="10">
        <v>883</v>
      </c>
      <c r="B885" s="11" t="s">
        <v>11</v>
      </c>
      <c r="C885" s="11" t="s">
        <v>2761</v>
      </c>
      <c r="D885" s="12" t="s">
        <v>2762</v>
      </c>
      <c r="E885" s="14"/>
      <c r="F885" s="14"/>
      <c r="G885" s="13" t="s">
        <v>2757</v>
      </c>
      <c r="H885" s="12" t="s">
        <v>2758</v>
      </c>
      <c r="I885" s="15">
        <v>74</v>
      </c>
      <c r="J885" s="16" t="s">
        <v>2630</v>
      </c>
    </row>
    <row r="886" ht="28.5" spans="1:10">
      <c r="A886" s="10">
        <v>884</v>
      </c>
      <c r="B886" s="11" t="s">
        <v>11</v>
      </c>
      <c r="C886" s="11" t="s">
        <v>2763</v>
      </c>
      <c r="D886" s="12" t="s">
        <v>2764</v>
      </c>
      <c r="E886" s="12" t="s">
        <v>2765</v>
      </c>
      <c r="F886" s="12" t="s">
        <v>2766</v>
      </c>
      <c r="G886" s="13" t="s">
        <v>2757</v>
      </c>
      <c r="H886" s="14"/>
      <c r="I886" s="15">
        <v>20</v>
      </c>
      <c r="J886" s="16" t="s">
        <v>2630</v>
      </c>
    </row>
    <row r="887" ht="30" spans="1:10">
      <c r="A887" s="10">
        <v>885</v>
      </c>
      <c r="B887" s="11" t="s">
        <v>11</v>
      </c>
      <c r="C887" s="11" t="s">
        <v>2767</v>
      </c>
      <c r="D887" s="12" t="s">
        <v>2768</v>
      </c>
      <c r="E887" s="14"/>
      <c r="F887" s="14"/>
      <c r="G887" s="13" t="s">
        <v>2757</v>
      </c>
      <c r="H887" s="14"/>
      <c r="I887" s="15">
        <v>20</v>
      </c>
      <c r="J887" s="16" t="s">
        <v>2630</v>
      </c>
    </row>
    <row r="888" ht="44.25" spans="1:10">
      <c r="A888" s="10">
        <v>886</v>
      </c>
      <c r="B888" s="11" t="s">
        <v>11</v>
      </c>
      <c r="C888" s="11" t="s">
        <v>2769</v>
      </c>
      <c r="D888" s="12" t="s">
        <v>2770</v>
      </c>
      <c r="E888" s="12" t="s">
        <v>2771</v>
      </c>
      <c r="F888" s="12" t="s">
        <v>2772</v>
      </c>
      <c r="G888" s="13" t="s">
        <v>2757</v>
      </c>
      <c r="H888" s="12" t="s">
        <v>2758</v>
      </c>
      <c r="I888" s="15">
        <v>135.3</v>
      </c>
      <c r="J888" s="16" t="s">
        <v>2630</v>
      </c>
    </row>
    <row r="889" ht="15.75" spans="1:10">
      <c r="A889" s="10">
        <v>887</v>
      </c>
      <c r="B889" s="11" t="s">
        <v>11</v>
      </c>
      <c r="C889" s="11" t="s">
        <v>2773</v>
      </c>
      <c r="D889" s="12" t="s">
        <v>2774</v>
      </c>
      <c r="E889" s="14"/>
      <c r="F889" s="14"/>
      <c r="G889" s="13" t="s">
        <v>2757</v>
      </c>
      <c r="H889" s="14"/>
      <c r="I889" s="78">
        <f>135*0.3</f>
        <v>40.5</v>
      </c>
      <c r="J889" s="16" t="s">
        <v>2630</v>
      </c>
    </row>
    <row r="890" ht="44.25" spans="1:10">
      <c r="A890" s="10">
        <v>888</v>
      </c>
      <c r="B890" s="11" t="s">
        <v>11</v>
      </c>
      <c r="C890" s="11" t="s">
        <v>2775</v>
      </c>
      <c r="D890" s="12" t="s">
        <v>2776</v>
      </c>
      <c r="E890" s="14"/>
      <c r="F890" s="14"/>
      <c r="G890" s="13" t="s">
        <v>2757</v>
      </c>
      <c r="H890" s="12" t="s">
        <v>2758</v>
      </c>
      <c r="I890" s="15">
        <v>68</v>
      </c>
      <c r="J890" s="16" t="s">
        <v>2630</v>
      </c>
    </row>
    <row r="891" ht="30" spans="1:10">
      <c r="A891" s="10">
        <v>889</v>
      </c>
      <c r="B891" s="11" t="s">
        <v>11</v>
      </c>
      <c r="C891" s="11" t="s">
        <v>2777</v>
      </c>
      <c r="D891" s="12" t="s">
        <v>2778</v>
      </c>
      <c r="E891" s="14"/>
      <c r="F891" s="14"/>
      <c r="G891" s="13" t="s">
        <v>2757</v>
      </c>
      <c r="H891" s="14"/>
      <c r="I891" s="15">
        <v>135</v>
      </c>
      <c r="J891" s="16" t="s">
        <v>2630</v>
      </c>
    </row>
    <row r="892" ht="28.5" spans="1:10">
      <c r="A892" s="10">
        <v>890</v>
      </c>
      <c r="B892" s="11" t="s">
        <v>11</v>
      </c>
      <c r="C892" s="11" t="s">
        <v>2779</v>
      </c>
      <c r="D892" s="12" t="s">
        <v>2780</v>
      </c>
      <c r="E892" s="12" t="s">
        <v>2781</v>
      </c>
      <c r="F892" s="12" t="s">
        <v>2782</v>
      </c>
      <c r="G892" s="13" t="s">
        <v>2757</v>
      </c>
      <c r="H892" s="14"/>
      <c r="I892" s="15">
        <v>131.2</v>
      </c>
      <c r="J892" s="16" t="s">
        <v>2630</v>
      </c>
    </row>
    <row r="893" ht="28.5" spans="1:10">
      <c r="A893" s="10">
        <v>891</v>
      </c>
      <c r="B893" s="11" t="s">
        <v>11</v>
      </c>
      <c r="C893" s="11" t="s">
        <v>2783</v>
      </c>
      <c r="D893" s="12" t="s">
        <v>2784</v>
      </c>
      <c r="E893" s="12" t="s">
        <v>2785</v>
      </c>
      <c r="F893" s="12" t="s">
        <v>2786</v>
      </c>
      <c r="G893" s="13" t="s">
        <v>2757</v>
      </c>
      <c r="H893" s="14"/>
      <c r="I893" s="15">
        <v>984</v>
      </c>
      <c r="J893" s="16" t="s">
        <v>2630</v>
      </c>
    </row>
    <row r="894" ht="30" spans="1:10">
      <c r="A894" s="10">
        <v>892</v>
      </c>
      <c r="B894" s="11" t="s">
        <v>11</v>
      </c>
      <c r="C894" s="11" t="s">
        <v>2787</v>
      </c>
      <c r="D894" s="12" t="s">
        <v>2788</v>
      </c>
      <c r="E894" s="14"/>
      <c r="F894" s="14"/>
      <c r="G894" s="13" t="s">
        <v>2757</v>
      </c>
      <c r="H894" s="43"/>
      <c r="I894" s="15">
        <v>492</v>
      </c>
      <c r="J894" s="16" t="s">
        <v>2630</v>
      </c>
    </row>
    <row r="895" ht="42.75" spans="1:10">
      <c r="A895" s="10">
        <v>893</v>
      </c>
      <c r="B895" s="11" t="s">
        <v>211</v>
      </c>
      <c r="C895" s="11" t="s">
        <v>2789</v>
      </c>
      <c r="D895" s="12" t="s">
        <v>2790</v>
      </c>
      <c r="E895" s="12" t="s">
        <v>2791</v>
      </c>
      <c r="F895" s="12" t="s">
        <v>2792</v>
      </c>
      <c r="G895" s="13" t="s">
        <v>2757</v>
      </c>
      <c r="H895" s="43"/>
      <c r="I895" s="15">
        <v>120</v>
      </c>
      <c r="J895" s="16" t="s">
        <v>2630</v>
      </c>
    </row>
    <row r="896" ht="30" spans="1:10">
      <c r="A896" s="10">
        <v>894</v>
      </c>
      <c r="B896" s="11" t="s">
        <v>211</v>
      </c>
      <c r="C896" s="11" t="s">
        <v>2793</v>
      </c>
      <c r="D896" s="79" t="s">
        <v>2794</v>
      </c>
      <c r="E896" s="80"/>
      <c r="F896" s="14"/>
      <c r="G896" s="13" t="s">
        <v>2757</v>
      </c>
      <c r="H896" s="43"/>
      <c r="I896" s="78">
        <f>I895*0.3</f>
        <v>36</v>
      </c>
      <c r="J896" s="16" t="s">
        <v>2630</v>
      </c>
    </row>
    <row r="897" ht="42.75" spans="1:10">
      <c r="A897" s="10">
        <v>895</v>
      </c>
      <c r="B897" s="11" t="s">
        <v>211</v>
      </c>
      <c r="C897" s="11" t="s">
        <v>2795</v>
      </c>
      <c r="D897" s="79" t="s">
        <v>2796</v>
      </c>
      <c r="E897" s="79" t="s">
        <v>2797</v>
      </c>
      <c r="F897" s="12" t="s">
        <v>2798</v>
      </c>
      <c r="G897" s="13" t="s">
        <v>2757</v>
      </c>
      <c r="H897" s="43"/>
      <c r="I897" s="15">
        <v>340.3</v>
      </c>
      <c r="J897" s="16" t="s">
        <v>2630</v>
      </c>
    </row>
    <row r="898" ht="30" spans="1:10">
      <c r="A898" s="10">
        <v>896</v>
      </c>
      <c r="B898" s="11" t="s">
        <v>211</v>
      </c>
      <c r="C898" s="11" t="s">
        <v>2799</v>
      </c>
      <c r="D898" s="12" t="s">
        <v>2800</v>
      </c>
      <c r="E898" s="14"/>
      <c r="F898" s="14"/>
      <c r="G898" s="13" t="s">
        <v>2757</v>
      </c>
      <c r="H898" s="14"/>
      <c r="I898" s="78">
        <f>340*0.3</f>
        <v>102</v>
      </c>
      <c r="J898" s="16" t="s">
        <v>2630</v>
      </c>
    </row>
    <row r="899" ht="30" spans="1:10">
      <c r="A899" s="10">
        <v>897</v>
      </c>
      <c r="B899" s="11" t="s">
        <v>211</v>
      </c>
      <c r="C899" s="11" t="s">
        <v>2801</v>
      </c>
      <c r="D899" s="12" t="s">
        <v>2802</v>
      </c>
      <c r="E899" s="14"/>
      <c r="F899" s="14"/>
      <c r="G899" s="13" t="s">
        <v>2757</v>
      </c>
      <c r="H899" s="14"/>
      <c r="I899" s="15">
        <v>340.3</v>
      </c>
      <c r="J899" s="16" t="s">
        <v>2630</v>
      </c>
    </row>
    <row r="900" ht="85.5" spans="1:10">
      <c r="A900" s="10">
        <v>898</v>
      </c>
      <c r="B900" s="11" t="s">
        <v>211</v>
      </c>
      <c r="C900" s="11" t="s">
        <v>2803</v>
      </c>
      <c r="D900" s="12" t="s">
        <v>2804</v>
      </c>
      <c r="E900" s="12" t="s">
        <v>2805</v>
      </c>
      <c r="F900" s="12" t="s">
        <v>2806</v>
      </c>
      <c r="G900" s="13" t="s">
        <v>2757</v>
      </c>
      <c r="H900" s="12" t="s">
        <v>2807</v>
      </c>
      <c r="I900" s="15">
        <v>934.8</v>
      </c>
      <c r="J900" s="16" t="s">
        <v>2630</v>
      </c>
    </row>
    <row r="901" ht="15.75" spans="1:10">
      <c r="A901" s="10">
        <v>899</v>
      </c>
      <c r="B901" s="11" t="s">
        <v>211</v>
      </c>
      <c r="C901" s="11" t="s">
        <v>2808</v>
      </c>
      <c r="D901" s="12" t="s">
        <v>2809</v>
      </c>
      <c r="E901" s="14"/>
      <c r="F901" s="14"/>
      <c r="G901" s="13" t="s">
        <v>2757</v>
      </c>
      <c r="H901" s="14"/>
      <c r="I901" s="78">
        <f>935*0.3</f>
        <v>280.5</v>
      </c>
      <c r="J901" s="16" t="s">
        <v>2630</v>
      </c>
    </row>
    <row r="902" ht="85.5" spans="1:10">
      <c r="A902" s="10">
        <v>900</v>
      </c>
      <c r="B902" s="11" t="s">
        <v>211</v>
      </c>
      <c r="C902" s="11" t="s">
        <v>2810</v>
      </c>
      <c r="D902" s="12" t="s">
        <v>2811</v>
      </c>
      <c r="E902" s="14"/>
      <c r="F902" s="14"/>
      <c r="G902" s="10"/>
      <c r="H902" s="12" t="s">
        <v>2807</v>
      </c>
      <c r="I902" s="15">
        <v>934.8</v>
      </c>
      <c r="J902" s="16" t="s">
        <v>2630</v>
      </c>
    </row>
    <row r="903" ht="28.5" spans="1:10">
      <c r="A903" s="10">
        <v>901</v>
      </c>
      <c r="B903" s="11" t="s">
        <v>11</v>
      </c>
      <c r="C903" s="11" t="s">
        <v>2812</v>
      </c>
      <c r="D903" s="12" t="s">
        <v>2813</v>
      </c>
      <c r="E903" s="12" t="s">
        <v>2814</v>
      </c>
      <c r="F903" s="12" t="s">
        <v>2815</v>
      </c>
      <c r="G903" s="13" t="s">
        <v>2727</v>
      </c>
      <c r="H903" s="14"/>
      <c r="I903" s="15">
        <v>242</v>
      </c>
      <c r="J903" s="16" t="s">
        <v>2630</v>
      </c>
    </row>
    <row r="904" ht="30" spans="1:10">
      <c r="A904" s="10">
        <v>902</v>
      </c>
      <c r="B904" s="11" t="s">
        <v>11</v>
      </c>
      <c r="C904" s="11" t="s">
        <v>2816</v>
      </c>
      <c r="D904" s="12" t="s">
        <v>2817</v>
      </c>
      <c r="E904" s="14"/>
      <c r="F904" s="14"/>
      <c r="G904" s="13" t="s">
        <v>2727</v>
      </c>
      <c r="H904" s="14"/>
      <c r="I904" s="15">
        <v>121</v>
      </c>
      <c r="J904" s="16" t="s">
        <v>2630</v>
      </c>
    </row>
    <row r="905" ht="42.75" spans="1:10">
      <c r="A905" s="10">
        <v>903</v>
      </c>
      <c r="B905" s="11" t="s">
        <v>11</v>
      </c>
      <c r="C905" s="11" t="s">
        <v>2818</v>
      </c>
      <c r="D905" s="12" t="s">
        <v>2819</v>
      </c>
      <c r="E905" s="12" t="s">
        <v>2820</v>
      </c>
      <c r="F905" s="12" t="s">
        <v>2821</v>
      </c>
      <c r="G905" s="13" t="s">
        <v>2727</v>
      </c>
      <c r="H905" s="14"/>
      <c r="I905" s="15">
        <v>1125</v>
      </c>
      <c r="J905" s="16" t="s">
        <v>2630</v>
      </c>
    </row>
    <row r="906" ht="30" spans="1:10">
      <c r="A906" s="10">
        <v>904</v>
      </c>
      <c r="B906" s="11" t="s">
        <v>11</v>
      </c>
      <c r="C906" s="11" t="s">
        <v>2822</v>
      </c>
      <c r="D906" s="12" t="s">
        <v>2823</v>
      </c>
      <c r="E906" s="14"/>
      <c r="F906" s="14"/>
      <c r="G906" s="13" t="s">
        <v>2727</v>
      </c>
      <c r="H906" s="14"/>
      <c r="I906" s="15">
        <v>1125</v>
      </c>
      <c r="J906" s="16" t="s">
        <v>2630</v>
      </c>
    </row>
    <row r="907" ht="42.75" spans="1:10">
      <c r="A907" s="10">
        <v>905</v>
      </c>
      <c r="B907" s="11" t="s">
        <v>11</v>
      </c>
      <c r="C907" s="11" t="s">
        <v>2824</v>
      </c>
      <c r="D907" s="12" t="s">
        <v>2825</v>
      </c>
      <c r="E907" s="12" t="s">
        <v>2826</v>
      </c>
      <c r="F907" s="12" t="s">
        <v>2827</v>
      </c>
      <c r="G907" s="13" t="s">
        <v>2727</v>
      </c>
      <c r="H907" s="12" t="s">
        <v>2828</v>
      </c>
      <c r="I907" s="15">
        <v>250</v>
      </c>
      <c r="J907" s="16" t="s">
        <v>2630</v>
      </c>
    </row>
    <row r="908" ht="30" spans="1:10">
      <c r="A908" s="10">
        <v>906</v>
      </c>
      <c r="B908" s="11" t="s">
        <v>11</v>
      </c>
      <c r="C908" s="11" t="s">
        <v>2829</v>
      </c>
      <c r="D908" s="12" t="s">
        <v>2830</v>
      </c>
      <c r="E908" s="14"/>
      <c r="F908" s="14"/>
      <c r="G908" s="13" t="s">
        <v>2727</v>
      </c>
      <c r="H908" s="14"/>
      <c r="I908" s="78">
        <f>250*0.3</f>
        <v>75</v>
      </c>
      <c r="J908" s="16" t="s">
        <v>2630</v>
      </c>
    </row>
    <row r="909" ht="30" spans="1:10">
      <c r="A909" s="10">
        <v>907</v>
      </c>
      <c r="B909" s="11" t="s">
        <v>11</v>
      </c>
      <c r="C909" s="11" t="s">
        <v>2831</v>
      </c>
      <c r="D909" s="12" t="s">
        <v>2832</v>
      </c>
      <c r="E909" s="14"/>
      <c r="F909" s="14"/>
      <c r="G909" s="13" t="s">
        <v>2727</v>
      </c>
      <c r="H909" s="12" t="s">
        <v>2828</v>
      </c>
      <c r="I909" s="15">
        <v>250</v>
      </c>
      <c r="J909" s="16" t="s">
        <v>2630</v>
      </c>
    </row>
    <row r="910" ht="30" spans="1:10">
      <c r="A910" s="10">
        <v>908</v>
      </c>
      <c r="B910" s="11" t="s">
        <v>11</v>
      </c>
      <c r="C910" s="11" t="s">
        <v>2833</v>
      </c>
      <c r="D910" s="12" t="s">
        <v>2834</v>
      </c>
      <c r="E910" s="14"/>
      <c r="F910" s="14"/>
      <c r="G910" s="13" t="s">
        <v>2727</v>
      </c>
      <c r="H910" s="14"/>
      <c r="I910" s="15">
        <v>200</v>
      </c>
      <c r="J910" s="16" t="s">
        <v>2630</v>
      </c>
    </row>
    <row r="911" ht="30" spans="1:10">
      <c r="A911" s="10">
        <v>909</v>
      </c>
      <c r="B911" s="11" t="s">
        <v>11</v>
      </c>
      <c r="C911" s="11" t="s">
        <v>2835</v>
      </c>
      <c r="D911" s="12" t="s">
        <v>2836</v>
      </c>
      <c r="E911" s="14"/>
      <c r="F911" s="14"/>
      <c r="G911" s="13" t="s">
        <v>2727</v>
      </c>
      <c r="H911" s="14"/>
      <c r="I911" s="15">
        <v>205</v>
      </c>
      <c r="J911" s="16" t="s">
        <v>2630</v>
      </c>
    </row>
    <row r="912" ht="42.75" spans="1:10">
      <c r="A912" s="10">
        <v>910</v>
      </c>
      <c r="B912" s="11" t="s">
        <v>11</v>
      </c>
      <c r="C912" s="11" t="s">
        <v>2837</v>
      </c>
      <c r="D912" s="12" t="s">
        <v>2838</v>
      </c>
      <c r="E912" s="12" t="s">
        <v>2839</v>
      </c>
      <c r="F912" s="12" t="s">
        <v>2840</v>
      </c>
      <c r="G912" s="13" t="s">
        <v>2727</v>
      </c>
      <c r="H912" s="14"/>
      <c r="I912" s="15">
        <v>33</v>
      </c>
      <c r="J912" s="16" t="s">
        <v>2630</v>
      </c>
    </row>
    <row r="913" ht="28.5" spans="1:10">
      <c r="A913" s="10">
        <v>911</v>
      </c>
      <c r="B913" s="11" t="s">
        <v>11</v>
      </c>
      <c r="C913" s="11" t="s">
        <v>2841</v>
      </c>
      <c r="D913" s="12" t="s">
        <v>2842</v>
      </c>
      <c r="E913" s="12" t="s">
        <v>2843</v>
      </c>
      <c r="F913" s="12" t="s">
        <v>2844</v>
      </c>
      <c r="G913" s="13" t="s">
        <v>2727</v>
      </c>
      <c r="H913" s="14"/>
      <c r="I913" s="81">
        <v>4.5</v>
      </c>
      <c r="J913" s="16" t="s">
        <v>2630</v>
      </c>
    </row>
    <row r="914" ht="28.5" spans="1:10">
      <c r="A914" s="10">
        <v>912</v>
      </c>
      <c r="B914" s="11" t="s">
        <v>11</v>
      </c>
      <c r="C914" s="11" t="s">
        <v>2845</v>
      </c>
      <c r="D914" s="12" t="s">
        <v>2846</v>
      </c>
      <c r="E914" s="12" t="s">
        <v>2847</v>
      </c>
      <c r="F914" s="12" t="s">
        <v>2848</v>
      </c>
      <c r="G914" s="13" t="s">
        <v>2727</v>
      </c>
      <c r="H914" s="14"/>
      <c r="I914" s="15">
        <v>16.4</v>
      </c>
      <c r="J914" s="16" t="s">
        <v>2630</v>
      </c>
    </row>
    <row r="915" ht="42.75" spans="1:10">
      <c r="A915" s="10">
        <v>913</v>
      </c>
      <c r="B915" s="11" t="s">
        <v>11</v>
      </c>
      <c r="C915" s="11" t="s">
        <v>2849</v>
      </c>
      <c r="D915" s="12" t="s">
        <v>2850</v>
      </c>
      <c r="E915" s="22" t="s">
        <v>2851</v>
      </c>
      <c r="F915" s="22" t="s">
        <v>2852</v>
      </c>
      <c r="G915" s="27" t="s">
        <v>2727</v>
      </c>
      <c r="H915" s="14"/>
      <c r="I915" s="15">
        <v>246</v>
      </c>
      <c r="J915" s="16" t="s">
        <v>2630</v>
      </c>
    </row>
    <row r="916" ht="102.75" spans="1:10">
      <c r="A916" s="10">
        <v>914</v>
      </c>
      <c r="B916" s="11" t="s">
        <v>211</v>
      </c>
      <c r="C916" s="11" t="s">
        <v>2853</v>
      </c>
      <c r="D916" s="12" t="s">
        <v>2854</v>
      </c>
      <c r="E916" s="12" t="s">
        <v>2855</v>
      </c>
      <c r="F916" s="12" t="s">
        <v>2856</v>
      </c>
      <c r="G916" s="13" t="s">
        <v>2727</v>
      </c>
      <c r="H916" s="14" t="s">
        <v>2857</v>
      </c>
      <c r="I916" s="15">
        <v>125</v>
      </c>
      <c r="J916" s="16" t="s">
        <v>2630</v>
      </c>
    </row>
    <row r="917" ht="15.75" spans="1:10">
      <c r="A917" s="10">
        <v>915</v>
      </c>
      <c r="B917" s="11" t="s">
        <v>211</v>
      </c>
      <c r="C917" s="11" t="s">
        <v>2858</v>
      </c>
      <c r="D917" s="12" t="s">
        <v>2859</v>
      </c>
      <c r="E917" s="14"/>
      <c r="F917" s="14"/>
      <c r="G917" s="13" t="s">
        <v>2727</v>
      </c>
      <c r="H917" s="14"/>
      <c r="I917" s="78">
        <f>125*0.3</f>
        <v>37.5</v>
      </c>
      <c r="J917" s="16" t="s">
        <v>2630</v>
      </c>
    </row>
    <row r="918" ht="85.5" spans="1:10">
      <c r="A918" s="10">
        <v>916</v>
      </c>
      <c r="B918" s="11" t="s">
        <v>211</v>
      </c>
      <c r="C918" s="11" t="s">
        <v>2860</v>
      </c>
      <c r="D918" s="12" t="s">
        <v>2861</v>
      </c>
      <c r="E918" s="14"/>
      <c r="F918" s="14"/>
      <c r="G918" s="13" t="s">
        <v>2727</v>
      </c>
      <c r="H918" s="59" t="s">
        <v>2862</v>
      </c>
      <c r="I918" s="15">
        <v>125</v>
      </c>
      <c r="J918" s="16" t="s">
        <v>2630</v>
      </c>
    </row>
    <row r="919" ht="57" spans="1:10">
      <c r="A919" s="10">
        <v>917</v>
      </c>
      <c r="B919" s="11" t="s">
        <v>211</v>
      </c>
      <c r="C919" s="11" t="s">
        <v>2863</v>
      </c>
      <c r="D919" s="12" t="s">
        <v>2864</v>
      </c>
      <c r="E919" s="12" t="s">
        <v>2865</v>
      </c>
      <c r="F919" s="12" t="s">
        <v>2866</v>
      </c>
      <c r="G919" s="13" t="s">
        <v>2727</v>
      </c>
      <c r="H919" s="12" t="s">
        <v>2867</v>
      </c>
      <c r="I919" s="15">
        <v>300</v>
      </c>
      <c r="J919" s="16" t="s">
        <v>2630</v>
      </c>
    </row>
    <row r="920" ht="30" spans="1:10">
      <c r="A920" s="10">
        <v>918</v>
      </c>
      <c r="B920" s="11" t="s">
        <v>211</v>
      </c>
      <c r="C920" s="11" t="s">
        <v>2868</v>
      </c>
      <c r="D920" s="12" t="s">
        <v>2869</v>
      </c>
      <c r="E920" s="14"/>
      <c r="F920" s="14"/>
      <c r="G920" s="13" t="s">
        <v>2727</v>
      </c>
      <c r="H920" s="14"/>
      <c r="I920" s="78">
        <f>300*0.3</f>
        <v>90</v>
      </c>
      <c r="J920" s="16" t="s">
        <v>2630</v>
      </c>
    </row>
    <row r="921" ht="57" spans="1:10">
      <c r="A921" s="10">
        <v>919</v>
      </c>
      <c r="B921" s="11" t="s">
        <v>211</v>
      </c>
      <c r="C921" s="11" t="s">
        <v>2870</v>
      </c>
      <c r="D921" s="12" t="s">
        <v>2871</v>
      </c>
      <c r="E921" s="14"/>
      <c r="F921" s="14"/>
      <c r="G921" s="13" t="s">
        <v>2727</v>
      </c>
      <c r="H921" s="12" t="s">
        <v>2867</v>
      </c>
      <c r="I921" s="15">
        <v>300</v>
      </c>
      <c r="J921" s="16" t="s">
        <v>2630</v>
      </c>
    </row>
    <row r="922" ht="30" spans="1:10">
      <c r="A922" s="10">
        <v>920</v>
      </c>
      <c r="B922" s="11" t="s">
        <v>211</v>
      </c>
      <c r="C922" s="11" t="s">
        <v>2872</v>
      </c>
      <c r="D922" s="12" t="s">
        <v>2873</v>
      </c>
      <c r="E922" s="14"/>
      <c r="F922" s="14"/>
      <c r="G922" s="13" t="s">
        <v>2727</v>
      </c>
      <c r="H922" s="14"/>
      <c r="I922" s="15">
        <v>300</v>
      </c>
      <c r="J922" s="16" t="s">
        <v>2630</v>
      </c>
    </row>
    <row r="923" ht="42.75" spans="1:10">
      <c r="A923" s="10">
        <v>921</v>
      </c>
      <c r="B923" s="11" t="s">
        <v>211</v>
      </c>
      <c r="C923" s="11" t="s">
        <v>2874</v>
      </c>
      <c r="D923" s="12" t="s">
        <v>2875</v>
      </c>
      <c r="E923" s="12" t="s">
        <v>2876</v>
      </c>
      <c r="F923" s="12" t="s">
        <v>2877</v>
      </c>
      <c r="G923" s="13" t="s">
        <v>2727</v>
      </c>
      <c r="H923" s="14"/>
      <c r="I923" s="15">
        <v>120</v>
      </c>
      <c r="J923" s="16" t="s">
        <v>2630</v>
      </c>
    </row>
    <row r="924" ht="30" spans="1:10">
      <c r="A924" s="10">
        <v>922</v>
      </c>
      <c r="B924" s="11" t="s">
        <v>211</v>
      </c>
      <c r="C924" s="11" t="s">
        <v>2878</v>
      </c>
      <c r="D924" s="12" t="s">
        <v>2879</v>
      </c>
      <c r="E924" s="14"/>
      <c r="F924" s="14"/>
      <c r="G924" s="13" t="s">
        <v>2727</v>
      </c>
      <c r="H924" s="14"/>
      <c r="I924" s="78">
        <f>120*0.3</f>
        <v>36</v>
      </c>
      <c r="J924" s="16" t="s">
        <v>2630</v>
      </c>
    </row>
    <row r="925" ht="30" spans="1:10">
      <c r="A925" s="10">
        <v>923</v>
      </c>
      <c r="B925" s="11" t="s">
        <v>211</v>
      </c>
      <c r="C925" s="11" t="s">
        <v>2880</v>
      </c>
      <c r="D925" s="12" t="s">
        <v>2881</v>
      </c>
      <c r="E925" s="14"/>
      <c r="F925" s="14"/>
      <c r="G925" s="13" t="s">
        <v>2727</v>
      </c>
      <c r="H925" s="14"/>
      <c r="I925" s="15">
        <v>120</v>
      </c>
      <c r="J925" s="16" t="s">
        <v>2630</v>
      </c>
    </row>
    <row r="926" ht="57" spans="1:10">
      <c r="A926" s="10">
        <v>924</v>
      </c>
      <c r="B926" s="11" t="s">
        <v>211</v>
      </c>
      <c r="C926" s="11" t="s">
        <v>2882</v>
      </c>
      <c r="D926" s="12" t="s">
        <v>2883</v>
      </c>
      <c r="E926" s="12" t="s">
        <v>2884</v>
      </c>
      <c r="F926" s="12" t="s">
        <v>2885</v>
      </c>
      <c r="G926" s="13" t="s">
        <v>2727</v>
      </c>
      <c r="H926" s="14"/>
      <c r="I926" s="15">
        <v>300</v>
      </c>
      <c r="J926" s="16" t="s">
        <v>2630</v>
      </c>
    </row>
    <row r="927" ht="30" spans="1:10">
      <c r="A927" s="10">
        <v>925</v>
      </c>
      <c r="B927" s="11" t="s">
        <v>211</v>
      </c>
      <c r="C927" s="11" t="s">
        <v>2886</v>
      </c>
      <c r="D927" s="12" t="s">
        <v>2887</v>
      </c>
      <c r="E927" s="14"/>
      <c r="F927" s="14"/>
      <c r="G927" s="13" t="s">
        <v>2727</v>
      </c>
      <c r="H927" s="14"/>
      <c r="I927" s="78">
        <f>300*0.3</f>
        <v>90</v>
      </c>
      <c r="J927" s="16" t="s">
        <v>2630</v>
      </c>
    </row>
    <row r="928" ht="42.75" spans="1:10">
      <c r="A928" s="10">
        <v>926</v>
      </c>
      <c r="B928" s="11" t="s">
        <v>211</v>
      </c>
      <c r="C928" s="11" t="s">
        <v>2888</v>
      </c>
      <c r="D928" s="12" t="s">
        <v>2889</v>
      </c>
      <c r="E928" s="12" t="s">
        <v>2890</v>
      </c>
      <c r="F928" s="12" t="s">
        <v>2891</v>
      </c>
      <c r="G928" s="13" t="s">
        <v>2727</v>
      </c>
      <c r="H928" s="12" t="s">
        <v>2892</v>
      </c>
      <c r="I928" s="15">
        <v>27</v>
      </c>
      <c r="J928" s="16" t="s">
        <v>2630</v>
      </c>
    </row>
    <row r="929" ht="30" spans="1:10">
      <c r="A929" s="10">
        <v>927</v>
      </c>
      <c r="B929" s="11" t="s">
        <v>211</v>
      </c>
      <c r="C929" s="11" t="s">
        <v>2893</v>
      </c>
      <c r="D929" s="12" t="s">
        <v>2894</v>
      </c>
      <c r="E929" s="14"/>
      <c r="F929" s="14"/>
      <c r="G929" s="13" t="s">
        <v>2727</v>
      </c>
      <c r="H929" s="14"/>
      <c r="I929" s="78">
        <f>27*0.3</f>
        <v>8.1</v>
      </c>
      <c r="J929" s="16" t="s">
        <v>2630</v>
      </c>
    </row>
    <row r="930" ht="42.75" spans="1:10">
      <c r="A930" s="10">
        <v>928</v>
      </c>
      <c r="B930" s="11" t="s">
        <v>211</v>
      </c>
      <c r="C930" s="11" t="s">
        <v>2895</v>
      </c>
      <c r="D930" s="12" t="s">
        <v>2896</v>
      </c>
      <c r="E930" s="12" t="s">
        <v>2897</v>
      </c>
      <c r="F930" s="12" t="s">
        <v>2898</v>
      </c>
      <c r="G930" s="13" t="s">
        <v>2727</v>
      </c>
      <c r="H930" s="14"/>
      <c r="I930" s="15">
        <v>170.56</v>
      </c>
      <c r="J930" s="16" t="s">
        <v>2630</v>
      </c>
    </row>
    <row r="931" ht="30" spans="1:10">
      <c r="A931" s="10">
        <v>929</v>
      </c>
      <c r="B931" s="11" t="s">
        <v>211</v>
      </c>
      <c r="C931" s="11" t="s">
        <v>2899</v>
      </c>
      <c r="D931" s="12" t="s">
        <v>2900</v>
      </c>
      <c r="E931" s="14"/>
      <c r="F931" s="14"/>
      <c r="G931" s="13" t="s">
        <v>2727</v>
      </c>
      <c r="H931" s="14"/>
      <c r="I931" s="78">
        <f>171*0.3</f>
        <v>51.3</v>
      </c>
      <c r="J931" s="16" t="s">
        <v>2630</v>
      </c>
    </row>
    <row r="932" ht="85.5" spans="1:10">
      <c r="A932" s="10">
        <v>930</v>
      </c>
      <c r="B932" s="11" t="s">
        <v>211</v>
      </c>
      <c r="C932" s="11" t="s">
        <v>2901</v>
      </c>
      <c r="D932" s="12" t="s">
        <v>2902</v>
      </c>
      <c r="E932" s="12" t="s">
        <v>2903</v>
      </c>
      <c r="F932" s="12" t="s">
        <v>2904</v>
      </c>
      <c r="G932" s="13" t="s">
        <v>2727</v>
      </c>
      <c r="H932" s="12" t="s">
        <v>2905</v>
      </c>
      <c r="I932" s="15">
        <v>656</v>
      </c>
      <c r="J932" s="16" t="s">
        <v>2630</v>
      </c>
    </row>
    <row r="933" ht="30" spans="1:10">
      <c r="A933" s="10">
        <v>931</v>
      </c>
      <c r="B933" s="11" t="s">
        <v>211</v>
      </c>
      <c r="C933" s="11" t="s">
        <v>2906</v>
      </c>
      <c r="D933" s="12" t="s">
        <v>2907</v>
      </c>
      <c r="E933" s="14"/>
      <c r="F933" s="20"/>
      <c r="G933" s="13" t="s">
        <v>2727</v>
      </c>
      <c r="H933" s="14"/>
      <c r="I933" s="78">
        <f>656*0.3</f>
        <v>196.8</v>
      </c>
      <c r="J933" s="16" t="s">
        <v>2630</v>
      </c>
    </row>
    <row r="934" ht="57" spans="1:10">
      <c r="A934" s="10">
        <v>932</v>
      </c>
      <c r="B934" s="11" t="s">
        <v>211</v>
      </c>
      <c r="C934" s="11" t="s">
        <v>2908</v>
      </c>
      <c r="D934" s="12" t="s">
        <v>2909</v>
      </c>
      <c r="E934" s="12" t="s">
        <v>2910</v>
      </c>
      <c r="F934" s="22" t="s">
        <v>2911</v>
      </c>
      <c r="G934" s="13" t="s">
        <v>2727</v>
      </c>
      <c r="H934" s="14"/>
      <c r="I934" s="15">
        <v>358</v>
      </c>
      <c r="J934" s="16" t="s">
        <v>2630</v>
      </c>
    </row>
    <row r="935" ht="15.75" spans="1:10">
      <c r="A935" s="10">
        <v>933</v>
      </c>
      <c r="B935" s="11" t="s">
        <v>211</v>
      </c>
      <c r="C935" s="11" t="s">
        <v>2912</v>
      </c>
      <c r="D935" s="12" t="s">
        <v>2913</v>
      </c>
      <c r="E935" s="14"/>
      <c r="F935" s="14"/>
      <c r="G935" s="13" t="s">
        <v>2727</v>
      </c>
      <c r="H935" s="14"/>
      <c r="I935" s="78">
        <f>358*0.3</f>
        <v>107.4</v>
      </c>
      <c r="J935" s="16" t="s">
        <v>2630</v>
      </c>
    </row>
    <row r="936" ht="30" spans="1:10">
      <c r="A936" s="10">
        <v>934</v>
      </c>
      <c r="B936" s="11" t="s">
        <v>211</v>
      </c>
      <c r="C936" s="11" t="s">
        <v>2914</v>
      </c>
      <c r="D936" s="12" t="s">
        <v>2915</v>
      </c>
      <c r="E936" s="14"/>
      <c r="F936" s="14"/>
      <c r="G936" s="13" t="s">
        <v>2727</v>
      </c>
      <c r="H936" s="14"/>
      <c r="I936" s="15">
        <v>358</v>
      </c>
      <c r="J936" s="16" t="s">
        <v>2630</v>
      </c>
    </row>
    <row r="937" ht="42.75" spans="1:10">
      <c r="A937" s="10">
        <v>935</v>
      </c>
      <c r="B937" s="11" t="s">
        <v>211</v>
      </c>
      <c r="C937" s="11" t="s">
        <v>2916</v>
      </c>
      <c r="D937" s="12" t="s">
        <v>2917</v>
      </c>
      <c r="E937" s="12" t="s">
        <v>2918</v>
      </c>
      <c r="F937" s="12" t="s">
        <v>2919</v>
      </c>
      <c r="G937" s="13" t="s">
        <v>2920</v>
      </c>
      <c r="H937" s="14"/>
      <c r="I937" s="15">
        <v>287.960023259195</v>
      </c>
      <c r="J937" s="16" t="s">
        <v>2630</v>
      </c>
    </row>
    <row r="938" ht="30" spans="1:10">
      <c r="A938" s="10">
        <v>936</v>
      </c>
      <c r="B938" s="11" t="s">
        <v>211</v>
      </c>
      <c r="C938" s="11" t="s">
        <v>2921</v>
      </c>
      <c r="D938" s="12" t="s">
        <v>2922</v>
      </c>
      <c r="E938" s="14"/>
      <c r="F938" s="14"/>
      <c r="G938" s="13" t="s">
        <v>2920</v>
      </c>
      <c r="H938" s="14"/>
      <c r="I938" s="78">
        <f>288*0.3</f>
        <v>86.4</v>
      </c>
      <c r="J938" s="16" t="s">
        <v>2630</v>
      </c>
    </row>
    <row r="939" ht="30" spans="1:10">
      <c r="A939" s="10">
        <v>937</v>
      </c>
      <c r="B939" s="11" t="s">
        <v>211</v>
      </c>
      <c r="C939" s="11" t="s">
        <v>2923</v>
      </c>
      <c r="D939" s="12" t="s">
        <v>2924</v>
      </c>
      <c r="E939" s="14"/>
      <c r="F939" s="14"/>
      <c r="G939" s="13" t="s">
        <v>2920</v>
      </c>
      <c r="H939" s="14"/>
      <c r="I939" s="15">
        <v>287.960023259195</v>
      </c>
      <c r="J939" s="16" t="s">
        <v>2630</v>
      </c>
    </row>
    <row r="940" ht="42.75" spans="1:10">
      <c r="A940" s="10">
        <v>938</v>
      </c>
      <c r="B940" s="11" t="s">
        <v>211</v>
      </c>
      <c r="C940" s="11" t="s">
        <v>2925</v>
      </c>
      <c r="D940" s="12" t="s">
        <v>2926</v>
      </c>
      <c r="E940" s="12" t="s">
        <v>2927</v>
      </c>
      <c r="F940" s="12" t="s">
        <v>2928</v>
      </c>
      <c r="G940" s="13" t="s">
        <v>16</v>
      </c>
      <c r="H940" s="14"/>
      <c r="I940" s="15">
        <v>255.84</v>
      </c>
      <c r="J940" s="16" t="s">
        <v>2630</v>
      </c>
    </row>
    <row r="941" ht="30" spans="1:10">
      <c r="A941" s="10">
        <v>939</v>
      </c>
      <c r="B941" s="11" t="s">
        <v>211</v>
      </c>
      <c r="C941" s="11" t="s">
        <v>2929</v>
      </c>
      <c r="D941" s="12" t="s">
        <v>2930</v>
      </c>
      <c r="E941" s="14"/>
      <c r="F941" s="14"/>
      <c r="G941" s="13" t="s">
        <v>16</v>
      </c>
      <c r="H941" s="14"/>
      <c r="I941" s="78">
        <f>256*0.3</f>
        <v>76.8</v>
      </c>
      <c r="J941" s="16" t="s">
        <v>2630</v>
      </c>
    </row>
    <row r="942" ht="57" spans="1:10">
      <c r="A942" s="10">
        <v>940</v>
      </c>
      <c r="B942" s="11" t="s">
        <v>211</v>
      </c>
      <c r="C942" s="11" t="s">
        <v>2931</v>
      </c>
      <c r="D942" s="12" t="s">
        <v>2932</v>
      </c>
      <c r="E942" s="12" t="s">
        <v>2933</v>
      </c>
      <c r="F942" s="12" t="s">
        <v>2934</v>
      </c>
      <c r="G942" s="13" t="s">
        <v>16</v>
      </c>
      <c r="H942" s="14"/>
      <c r="I942" s="15">
        <v>900</v>
      </c>
      <c r="J942" s="16" t="s">
        <v>2630</v>
      </c>
    </row>
    <row r="943" ht="30" spans="1:10">
      <c r="A943" s="10">
        <v>941</v>
      </c>
      <c r="B943" s="11" t="s">
        <v>211</v>
      </c>
      <c r="C943" s="11" t="s">
        <v>2935</v>
      </c>
      <c r="D943" s="12" t="s">
        <v>2936</v>
      </c>
      <c r="E943" s="14"/>
      <c r="F943" s="14"/>
      <c r="G943" s="13" t="s">
        <v>16</v>
      </c>
      <c r="H943" s="14"/>
      <c r="I943" s="78">
        <f>900*0.3</f>
        <v>270</v>
      </c>
      <c r="J943" s="16" t="s">
        <v>2630</v>
      </c>
    </row>
    <row r="944" ht="57" spans="1:10">
      <c r="A944" s="10">
        <v>942</v>
      </c>
      <c r="B944" s="11" t="s">
        <v>211</v>
      </c>
      <c r="C944" s="11" t="s">
        <v>2937</v>
      </c>
      <c r="D944" s="12" t="s">
        <v>2938</v>
      </c>
      <c r="E944" s="12" t="s">
        <v>2939</v>
      </c>
      <c r="F944" s="12" t="s">
        <v>2934</v>
      </c>
      <c r="G944" s="13" t="s">
        <v>16</v>
      </c>
      <c r="H944" s="14"/>
      <c r="I944" s="15">
        <v>385.138004246284</v>
      </c>
      <c r="J944" s="16" t="s">
        <v>2630</v>
      </c>
    </row>
    <row r="945" ht="30" spans="1:10">
      <c r="A945" s="10">
        <v>943</v>
      </c>
      <c r="B945" s="11" t="s">
        <v>211</v>
      </c>
      <c r="C945" s="11" t="s">
        <v>2940</v>
      </c>
      <c r="D945" s="12" t="s">
        <v>2941</v>
      </c>
      <c r="E945" s="14"/>
      <c r="F945" s="14"/>
      <c r="G945" s="13" t="s">
        <v>16</v>
      </c>
      <c r="H945" s="14"/>
      <c r="I945" s="78">
        <f>385*0.3</f>
        <v>115.5</v>
      </c>
      <c r="J945" s="16" t="s">
        <v>2630</v>
      </c>
    </row>
    <row r="946" ht="57" spans="1:10">
      <c r="A946" s="10">
        <v>944</v>
      </c>
      <c r="B946" s="11" t="s">
        <v>211</v>
      </c>
      <c r="C946" s="11" t="s">
        <v>2942</v>
      </c>
      <c r="D946" s="12" t="s">
        <v>2943</v>
      </c>
      <c r="E946" s="12" t="s">
        <v>2944</v>
      </c>
      <c r="F946" s="12" t="s">
        <v>2945</v>
      </c>
      <c r="G946" s="13" t="s">
        <v>2920</v>
      </c>
      <c r="H946" s="14"/>
      <c r="I946" s="15">
        <v>500</v>
      </c>
      <c r="J946" s="16" t="s">
        <v>2630</v>
      </c>
    </row>
    <row r="947" ht="30" spans="1:10">
      <c r="A947" s="10">
        <v>945</v>
      </c>
      <c r="B947" s="11" t="s">
        <v>211</v>
      </c>
      <c r="C947" s="11" t="s">
        <v>2946</v>
      </c>
      <c r="D947" s="12" t="s">
        <v>2947</v>
      </c>
      <c r="E947" s="14"/>
      <c r="F947" s="14"/>
      <c r="G947" s="13" t="s">
        <v>2920</v>
      </c>
      <c r="H947" s="14"/>
      <c r="I947" s="78">
        <f>500*0.3</f>
        <v>150</v>
      </c>
      <c r="J947" s="16" t="s">
        <v>2630</v>
      </c>
    </row>
    <row r="948" ht="61.5" spans="1:10">
      <c r="A948" s="10">
        <v>946</v>
      </c>
      <c r="B948" s="11" t="s">
        <v>211</v>
      </c>
      <c r="C948" s="11" t="s">
        <v>2948</v>
      </c>
      <c r="D948" s="12" t="s">
        <v>2949</v>
      </c>
      <c r="E948" s="12" t="s">
        <v>2950</v>
      </c>
      <c r="F948" s="12" t="s">
        <v>2719</v>
      </c>
      <c r="G948" s="13" t="s">
        <v>16</v>
      </c>
      <c r="H948" s="14" t="s">
        <v>2951</v>
      </c>
      <c r="I948" s="15">
        <v>434</v>
      </c>
      <c r="J948" s="16" t="s">
        <v>2630</v>
      </c>
    </row>
    <row r="949" ht="30" spans="1:10">
      <c r="A949" s="10">
        <v>947</v>
      </c>
      <c r="B949" s="11" t="s">
        <v>211</v>
      </c>
      <c r="C949" s="11" t="s">
        <v>2952</v>
      </c>
      <c r="D949" s="12" t="s">
        <v>2953</v>
      </c>
      <c r="E949" s="14"/>
      <c r="F949" s="14"/>
      <c r="G949" s="13" t="s">
        <v>16</v>
      </c>
      <c r="H949" s="14"/>
      <c r="I949" s="78">
        <f>434*0.3</f>
        <v>130.2</v>
      </c>
      <c r="J949" s="16" t="s">
        <v>2630</v>
      </c>
    </row>
    <row r="950" ht="61.5" spans="1:10">
      <c r="A950" s="10">
        <v>948</v>
      </c>
      <c r="B950" s="11" t="s">
        <v>211</v>
      </c>
      <c r="C950" s="11" t="s">
        <v>2954</v>
      </c>
      <c r="D950" s="12" t="s">
        <v>2955</v>
      </c>
      <c r="E950" s="12" t="s">
        <v>2956</v>
      </c>
      <c r="F950" s="12" t="s">
        <v>2957</v>
      </c>
      <c r="G950" s="13" t="s">
        <v>16</v>
      </c>
      <c r="H950" s="14" t="s">
        <v>2951</v>
      </c>
      <c r="I950" s="15">
        <v>114</v>
      </c>
      <c r="J950" s="16" t="s">
        <v>2630</v>
      </c>
    </row>
    <row r="951" ht="30" spans="1:10">
      <c r="A951" s="10">
        <v>949</v>
      </c>
      <c r="B951" s="11" t="s">
        <v>211</v>
      </c>
      <c r="C951" s="11" t="s">
        <v>2958</v>
      </c>
      <c r="D951" s="12" t="s">
        <v>2959</v>
      </c>
      <c r="E951" s="14"/>
      <c r="F951" s="14"/>
      <c r="G951" s="13" t="s">
        <v>16</v>
      </c>
      <c r="H951" s="14"/>
      <c r="I951" s="78">
        <f>114*0.3</f>
        <v>34.2</v>
      </c>
      <c r="J951" s="16" t="s">
        <v>2630</v>
      </c>
    </row>
    <row r="952" ht="42.75" spans="1:10">
      <c r="A952" s="10">
        <v>950</v>
      </c>
      <c r="B952" s="11" t="s">
        <v>211</v>
      </c>
      <c r="C952" s="11" t="s">
        <v>2960</v>
      </c>
      <c r="D952" s="12" t="s">
        <v>2961</v>
      </c>
      <c r="E952" s="12" t="s">
        <v>2962</v>
      </c>
      <c r="F952" s="12" t="s">
        <v>2963</v>
      </c>
      <c r="G952" s="13" t="s">
        <v>2727</v>
      </c>
      <c r="H952" s="12" t="s">
        <v>2964</v>
      </c>
      <c r="I952" s="15">
        <v>145</v>
      </c>
      <c r="J952" s="16" t="s">
        <v>2630</v>
      </c>
    </row>
    <row r="953" ht="30" spans="1:10">
      <c r="A953" s="10">
        <v>951</v>
      </c>
      <c r="B953" s="11" t="s">
        <v>211</v>
      </c>
      <c r="C953" s="11" t="s">
        <v>2965</v>
      </c>
      <c r="D953" s="12" t="s">
        <v>2966</v>
      </c>
      <c r="E953" s="14"/>
      <c r="F953" s="14"/>
      <c r="G953" s="13" t="s">
        <v>2727</v>
      </c>
      <c r="H953" s="14"/>
      <c r="I953" s="78">
        <f>145*0.3</f>
        <v>43.5</v>
      </c>
      <c r="J953" s="16" t="s">
        <v>2630</v>
      </c>
    </row>
    <row r="954" ht="42.75" spans="1:10">
      <c r="A954" s="10">
        <v>952</v>
      </c>
      <c r="B954" s="11" t="s">
        <v>211</v>
      </c>
      <c r="C954" s="11" t="s">
        <v>2967</v>
      </c>
      <c r="D954" s="12" t="s">
        <v>2968</v>
      </c>
      <c r="E954" s="14"/>
      <c r="F954" s="14"/>
      <c r="G954" s="13" t="s">
        <v>2727</v>
      </c>
      <c r="H954" s="12" t="s">
        <v>2964</v>
      </c>
      <c r="I954" s="15">
        <v>145</v>
      </c>
      <c r="J954" s="16" t="s">
        <v>2630</v>
      </c>
    </row>
    <row r="955" ht="42.75" spans="1:10">
      <c r="A955" s="10">
        <v>953</v>
      </c>
      <c r="B955" s="11" t="s">
        <v>11</v>
      </c>
      <c r="C955" s="11" t="s">
        <v>2969</v>
      </c>
      <c r="D955" s="12" t="s">
        <v>2970</v>
      </c>
      <c r="E955" s="12" t="s">
        <v>2971</v>
      </c>
      <c r="F955" s="12" t="s">
        <v>2972</v>
      </c>
      <c r="G955" s="13" t="s">
        <v>2705</v>
      </c>
      <c r="H955" s="14"/>
      <c r="I955" s="15">
        <v>320</v>
      </c>
      <c r="J955" s="16" t="s">
        <v>2630</v>
      </c>
    </row>
    <row r="956" ht="15.75" spans="1:10">
      <c r="A956" s="10">
        <v>954</v>
      </c>
      <c r="B956" s="11" t="s">
        <v>11</v>
      </c>
      <c r="C956" s="11" t="s">
        <v>2973</v>
      </c>
      <c r="D956" s="12" t="s">
        <v>2974</v>
      </c>
      <c r="E956" s="14"/>
      <c r="F956" s="14"/>
      <c r="G956" s="13" t="s">
        <v>2705</v>
      </c>
      <c r="H956" s="41"/>
      <c r="I956" s="78">
        <f>320*0.3</f>
        <v>96</v>
      </c>
      <c r="J956" s="16" t="s">
        <v>2630</v>
      </c>
    </row>
    <row r="957" ht="28.5" spans="1:10">
      <c r="A957" s="10">
        <v>955</v>
      </c>
      <c r="B957" s="11" t="s">
        <v>11</v>
      </c>
      <c r="C957" s="11" t="s">
        <v>2975</v>
      </c>
      <c r="D957" s="12" t="s">
        <v>2976</v>
      </c>
      <c r="E957" s="12" t="s">
        <v>2977</v>
      </c>
      <c r="F957" s="12" t="s">
        <v>2710</v>
      </c>
      <c r="G957" s="13" t="s">
        <v>2705</v>
      </c>
      <c r="H957" s="41"/>
      <c r="I957" s="15">
        <v>95.5277777777778</v>
      </c>
      <c r="J957" s="16" t="s">
        <v>2630</v>
      </c>
    </row>
    <row r="958" ht="30" spans="1:10">
      <c r="A958" s="10">
        <v>956</v>
      </c>
      <c r="B958" s="11" t="s">
        <v>11</v>
      </c>
      <c r="C958" s="11" t="s">
        <v>2978</v>
      </c>
      <c r="D958" s="12" t="s">
        <v>2979</v>
      </c>
      <c r="E958" s="14"/>
      <c r="F958" s="14"/>
      <c r="G958" s="13" t="s">
        <v>2705</v>
      </c>
      <c r="H958" s="14"/>
      <c r="I958" s="78">
        <f>96*0.3</f>
        <v>28.8</v>
      </c>
      <c r="J958" s="16" t="s">
        <v>2630</v>
      </c>
    </row>
    <row r="959" ht="42.75" spans="1:10">
      <c r="A959" s="10">
        <v>957</v>
      </c>
      <c r="B959" s="11" t="s">
        <v>211</v>
      </c>
      <c r="C959" s="11" t="s">
        <v>2980</v>
      </c>
      <c r="D959" s="12" t="s">
        <v>2981</v>
      </c>
      <c r="E959" s="12" t="s">
        <v>2982</v>
      </c>
      <c r="F959" s="12" t="s">
        <v>2983</v>
      </c>
      <c r="G959" s="13" t="s">
        <v>2727</v>
      </c>
      <c r="H959" s="14"/>
      <c r="I959" s="15">
        <v>480</v>
      </c>
      <c r="J959" s="16" t="s">
        <v>2630</v>
      </c>
    </row>
    <row r="960" ht="30" spans="1:10">
      <c r="A960" s="10">
        <v>958</v>
      </c>
      <c r="B960" s="11" t="s">
        <v>211</v>
      </c>
      <c r="C960" s="11" t="s">
        <v>2984</v>
      </c>
      <c r="D960" s="12" t="s">
        <v>2985</v>
      </c>
      <c r="E960" s="14"/>
      <c r="F960" s="14"/>
      <c r="G960" s="13" t="s">
        <v>2727</v>
      </c>
      <c r="H960" s="14"/>
      <c r="I960" s="78">
        <f>480*0.3</f>
        <v>144</v>
      </c>
      <c r="J960" s="16" t="s">
        <v>2630</v>
      </c>
    </row>
    <row r="961" ht="42.75" spans="1:10">
      <c r="A961" s="10">
        <v>959</v>
      </c>
      <c r="B961" s="11" t="s">
        <v>211</v>
      </c>
      <c r="C961" s="11" t="s">
        <v>2986</v>
      </c>
      <c r="D961" s="12" t="s">
        <v>2987</v>
      </c>
      <c r="E961" s="12" t="s">
        <v>2988</v>
      </c>
      <c r="F961" s="12" t="s">
        <v>2989</v>
      </c>
      <c r="G961" s="13" t="s">
        <v>16</v>
      </c>
      <c r="H961" s="14"/>
      <c r="I961" s="15">
        <v>28</v>
      </c>
      <c r="J961" s="16" t="s">
        <v>2630</v>
      </c>
    </row>
    <row r="962" ht="30" spans="1:10">
      <c r="A962" s="10">
        <v>960</v>
      </c>
      <c r="B962" s="11" t="s">
        <v>211</v>
      </c>
      <c r="C962" s="11" t="s">
        <v>2990</v>
      </c>
      <c r="D962" s="12" t="s">
        <v>2991</v>
      </c>
      <c r="E962" s="14"/>
      <c r="F962" s="14"/>
      <c r="G962" s="10" t="s">
        <v>2992</v>
      </c>
      <c r="H962" s="14"/>
      <c r="I962" s="78">
        <f>28*0.3</f>
        <v>8.4</v>
      </c>
      <c r="J962" s="16" t="s">
        <v>2630</v>
      </c>
    </row>
    <row r="963" ht="42.75" spans="1:10">
      <c r="A963" s="10">
        <v>961</v>
      </c>
      <c r="B963" s="11" t="s">
        <v>211</v>
      </c>
      <c r="C963" s="11" t="s">
        <v>2993</v>
      </c>
      <c r="D963" s="12" t="s">
        <v>2994</v>
      </c>
      <c r="E963" s="12" t="s">
        <v>2995</v>
      </c>
      <c r="F963" s="12" t="s">
        <v>2996</v>
      </c>
      <c r="G963" s="10" t="s">
        <v>2992</v>
      </c>
      <c r="H963" s="14"/>
      <c r="I963" s="15">
        <v>217</v>
      </c>
      <c r="J963" s="16" t="s">
        <v>2630</v>
      </c>
    </row>
    <row r="964" ht="30" spans="1:10">
      <c r="A964" s="10">
        <v>962</v>
      </c>
      <c r="B964" s="11" t="s">
        <v>211</v>
      </c>
      <c r="C964" s="11" t="s">
        <v>2997</v>
      </c>
      <c r="D964" s="12" t="s">
        <v>2998</v>
      </c>
      <c r="E964" s="14"/>
      <c r="F964" s="14"/>
      <c r="G964" s="10" t="s">
        <v>2992</v>
      </c>
      <c r="H964" s="14"/>
      <c r="I964" s="78">
        <f>217*0.3</f>
        <v>65.1</v>
      </c>
      <c r="J964" s="16" t="s">
        <v>2630</v>
      </c>
    </row>
    <row r="965" ht="57" spans="1:10">
      <c r="A965" s="10">
        <v>963</v>
      </c>
      <c r="B965" s="11" t="s">
        <v>211</v>
      </c>
      <c r="C965" s="11" t="s">
        <v>2999</v>
      </c>
      <c r="D965" s="12" t="s">
        <v>3000</v>
      </c>
      <c r="E965" s="12" t="s">
        <v>3001</v>
      </c>
      <c r="F965" s="12" t="s">
        <v>3002</v>
      </c>
      <c r="G965" s="13" t="s">
        <v>16</v>
      </c>
      <c r="H965" s="12" t="s">
        <v>1410</v>
      </c>
      <c r="I965" s="15">
        <v>542</v>
      </c>
      <c r="J965" s="16" t="s">
        <v>2630</v>
      </c>
    </row>
    <row r="966" ht="30" spans="1:10">
      <c r="A966" s="10">
        <v>964</v>
      </c>
      <c r="B966" s="11" t="s">
        <v>211</v>
      </c>
      <c r="C966" s="11" t="s">
        <v>3003</v>
      </c>
      <c r="D966" s="12" t="s">
        <v>3004</v>
      </c>
      <c r="E966" s="14"/>
      <c r="F966" s="14"/>
      <c r="G966" s="13" t="s">
        <v>16</v>
      </c>
      <c r="H966" s="14"/>
      <c r="I966" s="78">
        <f>542*0.3</f>
        <v>162.6</v>
      </c>
      <c r="J966" s="16" t="s">
        <v>2630</v>
      </c>
    </row>
    <row r="967" ht="30" spans="1:10">
      <c r="A967" s="10">
        <v>965</v>
      </c>
      <c r="B967" s="11" t="s">
        <v>211</v>
      </c>
      <c r="C967" s="11" t="s">
        <v>3005</v>
      </c>
      <c r="D967" s="12" t="s">
        <v>3006</v>
      </c>
      <c r="E967" s="14"/>
      <c r="F967" s="14"/>
      <c r="G967" s="13" t="s">
        <v>16</v>
      </c>
      <c r="H967" s="14"/>
      <c r="I967" s="15">
        <v>542</v>
      </c>
      <c r="J967" s="16" t="s">
        <v>2630</v>
      </c>
    </row>
    <row r="968" ht="57" spans="1:10">
      <c r="A968" s="10">
        <v>966</v>
      </c>
      <c r="B968" s="11" t="s">
        <v>211</v>
      </c>
      <c r="C968" s="11" t="s">
        <v>3007</v>
      </c>
      <c r="D968" s="12" t="s">
        <v>3008</v>
      </c>
      <c r="E968" s="12" t="s">
        <v>3009</v>
      </c>
      <c r="F968" s="12" t="s">
        <v>3010</v>
      </c>
      <c r="G968" s="13" t="s">
        <v>369</v>
      </c>
      <c r="H968" s="14"/>
      <c r="I968" s="47">
        <v>607</v>
      </c>
      <c r="J968" s="16" t="s">
        <v>2630</v>
      </c>
    </row>
    <row r="969" ht="30" spans="1:10">
      <c r="A969" s="10">
        <v>967</v>
      </c>
      <c r="B969" s="11" t="s">
        <v>211</v>
      </c>
      <c r="C969" s="11" t="s">
        <v>3011</v>
      </c>
      <c r="D969" s="22" t="s">
        <v>3012</v>
      </c>
      <c r="E969" s="14"/>
      <c r="F969" s="20"/>
      <c r="G969" s="13" t="s">
        <v>369</v>
      </c>
      <c r="H969" s="14"/>
      <c r="I969" s="78">
        <f>607*0.3</f>
        <v>182.1</v>
      </c>
      <c r="J969" s="16" t="s">
        <v>2630</v>
      </c>
    </row>
    <row r="970" ht="42.75" spans="1:10">
      <c r="A970" s="10">
        <v>968</v>
      </c>
      <c r="B970" s="11" t="s">
        <v>211</v>
      </c>
      <c r="C970" s="11" t="s">
        <v>3013</v>
      </c>
      <c r="D970" s="22" t="s">
        <v>3014</v>
      </c>
      <c r="E970" s="12" t="s">
        <v>3015</v>
      </c>
      <c r="F970" s="22" t="s">
        <v>3016</v>
      </c>
      <c r="G970" s="13" t="s">
        <v>3017</v>
      </c>
      <c r="H970" s="14"/>
      <c r="I970" s="47">
        <v>350</v>
      </c>
      <c r="J970" s="16" t="s">
        <v>2630</v>
      </c>
    </row>
    <row r="971" ht="30" spans="1:10">
      <c r="A971" s="10">
        <v>969</v>
      </c>
      <c r="B971" s="11" t="s">
        <v>211</v>
      </c>
      <c r="C971" s="11" t="s">
        <v>3018</v>
      </c>
      <c r="D971" s="12" t="s">
        <v>3019</v>
      </c>
      <c r="E971" s="14"/>
      <c r="F971" s="14"/>
      <c r="G971" s="13" t="s">
        <v>3017</v>
      </c>
      <c r="H971" s="14"/>
      <c r="I971" s="78">
        <f>350*0.3</f>
        <v>105</v>
      </c>
      <c r="J971" s="16" t="s">
        <v>2630</v>
      </c>
    </row>
    <row r="972" ht="57" spans="1:10">
      <c r="A972" s="10">
        <v>970</v>
      </c>
      <c r="B972" s="11" t="s">
        <v>177</v>
      </c>
      <c r="C972" s="11" t="s">
        <v>3020</v>
      </c>
      <c r="D972" s="12" t="s">
        <v>3021</v>
      </c>
      <c r="E972" s="12" t="s">
        <v>3022</v>
      </c>
      <c r="F972" s="12" t="s">
        <v>3023</v>
      </c>
      <c r="G972" s="13" t="s">
        <v>16</v>
      </c>
      <c r="H972" s="14"/>
      <c r="I972" s="15">
        <v>600</v>
      </c>
      <c r="J972" s="16" t="s">
        <v>2630</v>
      </c>
    </row>
    <row r="973" ht="42.75" spans="1:10">
      <c r="A973" s="10">
        <v>971</v>
      </c>
      <c r="B973" s="11" t="s">
        <v>11</v>
      </c>
      <c r="C973" s="11" t="s">
        <v>3024</v>
      </c>
      <c r="D973" s="12" t="s">
        <v>3025</v>
      </c>
      <c r="E973" s="12" t="s">
        <v>3026</v>
      </c>
      <c r="F973" s="12" t="s">
        <v>3027</v>
      </c>
      <c r="G973" s="13" t="s">
        <v>3017</v>
      </c>
      <c r="H973" s="14"/>
      <c r="I973" s="15">
        <v>300.12</v>
      </c>
      <c r="J973" s="16" t="s">
        <v>2630</v>
      </c>
    </row>
    <row r="974" ht="120" spans="1:10">
      <c r="A974" s="10">
        <v>972</v>
      </c>
      <c r="B974" s="11" t="s">
        <v>11</v>
      </c>
      <c r="C974" s="11" t="s">
        <v>3028</v>
      </c>
      <c r="D974" s="12" t="s">
        <v>3029</v>
      </c>
      <c r="E974" s="12" t="s">
        <v>3030</v>
      </c>
      <c r="F974" s="12" t="s">
        <v>3031</v>
      </c>
      <c r="G974" s="13" t="s">
        <v>3017</v>
      </c>
      <c r="H974" s="12" t="s">
        <v>3032</v>
      </c>
      <c r="I974" s="15">
        <v>3080</v>
      </c>
      <c r="J974" s="16" t="s">
        <v>2630</v>
      </c>
    </row>
    <row r="975" ht="30" spans="1:10">
      <c r="A975" s="10">
        <v>973</v>
      </c>
      <c r="B975" s="11" t="s">
        <v>11</v>
      </c>
      <c r="C975" s="11" t="s">
        <v>3033</v>
      </c>
      <c r="D975" s="12" t="s">
        <v>3034</v>
      </c>
      <c r="E975" s="14"/>
      <c r="F975" s="14"/>
      <c r="G975" s="13" t="s">
        <v>3017</v>
      </c>
      <c r="H975" s="14"/>
      <c r="I975" s="15">
        <v>1540</v>
      </c>
      <c r="J975" s="16" t="s">
        <v>2630</v>
      </c>
    </row>
    <row r="976" ht="120" spans="1:10">
      <c r="A976" s="10">
        <v>974</v>
      </c>
      <c r="B976" s="11" t="s">
        <v>11</v>
      </c>
      <c r="C976" s="11" t="s">
        <v>3035</v>
      </c>
      <c r="D976" s="12" t="s">
        <v>3036</v>
      </c>
      <c r="E976" s="14"/>
      <c r="F976" s="14"/>
      <c r="G976" s="13" t="s">
        <v>3017</v>
      </c>
      <c r="H976" s="12" t="s">
        <v>3032</v>
      </c>
      <c r="I976" s="15">
        <v>1540</v>
      </c>
      <c r="J976" s="16" t="s">
        <v>2630</v>
      </c>
    </row>
    <row r="977" ht="42.75" spans="1:10">
      <c r="A977" s="10">
        <v>975</v>
      </c>
      <c r="B977" s="11" t="s">
        <v>11</v>
      </c>
      <c r="C977" s="11" t="s">
        <v>3037</v>
      </c>
      <c r="D977" s="12" t="s">
        <v>3038</v>
      </c>
      <c r="E977" s="12" t="s">
        <v>3039</v>
      </c>
      <c r="F977" s="12" t="s">
        <v>3040</v>
      </c>
      <c r="G977" s="13" t="s">
        <v>2757</v>
      </c>
      <c r="H977" s="14"/>
      <c r="I977" s="15">
        <v>820</v>
      </c>
      <c r="J977" s="16" t="s">
        <v>2630</v>
      </c>
    </row>
    <row r="978" ht="30" spans="1:10">
      <c r="A978" s="10">
        <v>976</v>
      </c>
      <c r="B978" s="11" t="s">
        <v>11</v>
      </c>
      <c r="C978" s="11" t="s">
        <v>3041</v>
      </c>
      <c r="D978" s="12" t="s">
        <v>3042</v>
      </c>
      <c r="E978" s="14"/>
      <c r="F978" s="14"/>
      <c r="G978" s="13" t="s">
        <v>2757</v>
      </c>
      <c r="H978" s="14"/>
      <c r="I978" s="15">
        <v>820</v>
      </c>
      <c r="J978" s="16" t="s">
        <v>2630</v>
      </c>
    </row>
    <row r="979" ht="42.75" spans="1:10">
      <c r="A979" s="10">
        <v>977</v>
      </c>
      <c r="B979" s="11" t="s">
        <v>11</v>
      </c>
      <c r="C979" s="11" t="s">
        <v>3043</v>
      </c>
      <c r="D979" s="12" t="s">
        <v>3044</v>
      </c>
      <c r="E979" s="12" t="s">
        <v>3045</v>
      </c>
      <c r="F979" s="12" t="s">
        <v>3046</v>
      </c>
      <c r="G979" s="13" t="s">
        <v>3017</v>
      </c>
      <c r="H979" s="14"/>
      <c r="I979" s="15">
        <v>793</v>
      </c>
      <c r="J979" s="16" t="s">
        <v>2630</v>
      </c>
    </row>
    <row r="980" ht="30" spans="1:10">
      <c r="A980" s="10">
        <v>978</v>
      </c>
      <c r="B980" s="11" t="s">
        <v>11</v>
      </c>
      <c r="C980" s="11" t="s">
        <v>3047</v>
      </c>
      <c r="D980" s="12" t="s">
        <v>3048</v>
      </c>
      <c r="E980" s="14"/>
      <c r="F980" s="14"/>
      <c r="G980" s="13" t="s">
        <v>3017</v>
      </c>
      <c r="H980" s="14"/>
      <c r="I980" s="15">
        <v>793</v>
      </c>
      <c r="J980" s="16" t="s">
        <v>2630</v>
      </c>
    </row>
    <row r="981" ht="58.5" spans="1:10">
      <c r="A981" s="10">
        <v>979</v>
      </c>
      <c r="B981" s="11" t="s">
        <v>11</v>
      </c>
      <c r="C981" s="11" t="s">
        <v>3049</v>
      </c>
      <c r="D981" s="12" t="s">
        <v>3050</v>
      </c>
      <c r="E981" s="12" t="s">
        <v>3051</v>
      </c>
      <c r="F981" s="12" t="s">
        <v>3052</v>
      </c>
      <c r="G981" s="13" t="s">
        <v>2705</v>
      </c>
      <c r="H981" s="12" t="s">
        <v>3053</v>
      </c>
      <c r="I981" s="15">
        <v>5200</v>
      </c>
      <c r="J981" s="16" t="s">
        <v>2630</v>
      </c>
    </row>
    <row r="982" ht="58.5" spans="1:10">
      <c r="A982" s="10">
        <v>980</v>
      </c>
      <c r="B982" s="11" t="s">
        <v>11</v>
      </c>
      <c r="C982" s="11" t="s">
        <v>3054</v>
      </c>
      <c r="D982" s="12" t="s">
        <v>3055</v>
      </c>
      <c r="E982" s="14"/>
      <c r="F982" s="14"/>
      <c r="G982" s="13" t="s">
        <v>2705</v>
      </c>
      <c r="H982" s="12" t="s">
        <v>3053</v>
      </c>
      <c r="I982" s="15">
        <v>2600</v>
      </c>
      <c r="J982" s="16" t="s">
        <v>2630</v>
      </c>
    </row>
    <row r="983" ht="42.75" spans="1:10">
      <c r="A983" s="10">
        <v>981</v>
      </c>
      <c r="B983" s="11" t="s">
        <v>11</v>
      </c>
      <c r="C983" s="11" t="s">
        <v>3056</v>
      </c>
      <c r="D983" s="12" t="s">
        <v>3057</v>
      </c>
      <c r="E983" s="12" t="s">
        <v>3058</v>
      </c>
      <c r="F983" s="12" t="s">
        <v>3059</v>
      </c>
      <c r="G983" s="13" t="s">
        <v>3017</v>
      </c>
      <c r="H983" s="12" t="s">
        <v>3060</v>
      </c>
      <c r="I983" s="15">
        <v>246</v>
      </c>
      <c r="J983" s="16" t="s">
        <v>2630</v>
      </c>
    </row>
    <row r="984" ht="180" spans="1:10">
      <c r="A984" s="10">
        <v>982</v>
      </c>
      <c r="B984" s="11" t="s">
        <v>11</v>
      </c>
      <c r="C984" s="11" t="s">
        <v>3061</v>
      </c>
      <c r="D984" s="12" t="s">
        <v>3062</v>
      </c>
      <c r="E984" s="12" t="s">
        <v>3063</v>
      </c>
      <c r="F984" s="12" t="s">
        <v>3064</v>
      </c>
      <c r="G984" s="13" t="s">
        <v>3017</v>
      </c>
      <c r="H984" s="14" t="s">
        <v>3065</v>
      </c>
      <c r="I984" s="15">
        <v>800</v>
      </c>
      <c r="J984" s="16" t="s">
        <v>2630</v>
      </c>
    </row>
    <row r="985" ht="180" spans="1:10">
      <c r="A985" s="10">
        <v>983</v>
      </c>
      <c r="B985" s="11" t="s">
        <v>11</v>
      </c>
      <c r="C985" s="11" t="s">
        <v>3066</v>
      </c>
      <c r="D985" s="12" t="s">
        <v>3067</v>
      </c>
      <c r="E985" s="14"/>
      <c r="F985" s="14"/>
      <c r="G985" s="13" t="s">
        <v>3017</v>
      </c>
      <c r="H985" s="14" t="s">
        <v>3065</v>
      </c>
      <c r="I985" s="15">
        <v>400</v>
      </c>
      <c r="J985" s="16" t="s">
        <v>2630</v>
      </c>
    </row>
    <row r="986" ht="42.75" spans="1:10">
      <c r="A986" s="10">
        <v>984</v>
      </c>
      <c r="B986" s="11" t="s">
        <v>11</v>
      </c>
      <c r="C986" s="11" t="s">
        <v>3068</v>
      </c>
      <c r="D986" s="12" t="s">
        <v>3069</v>
      </c>
      <c r="E986" s="12" t="s">
        <v>3070</v>
      </c>
      <c r="F986" s="12" t="s">
        <v>3071</v>
      </c>
      <c r="G986" s="13" t="s">
        <v>3072</v>
      </c>
      <c r="H986" s="14"/>
      <c r="I986" s="15">
        <v>4000</v>
      </c>
      <c r="J986" s="16" t="s">
        <v>2630</v>
      </c>
    </row>
    <row r="987" ht="101.25" spans="1:10">
      <c r="A987" s="10">
        <v>985</v>
      </c>
      <c r="B987" s="11" t="s">
        <v>11</v>
      </c>
      <c r="C987" s="11" t="s">
        <v>3073</v>
      </c>
      <c r="D987" s="12" t="s">
        <v>3074</v>
      </c>
      <c r="E987" s="12" t="s">
        <v>3075</v>
      </c>
      <c r="F987" s="12" t="s">
        <v>3076</v>
      </c>
      <c r="G987" s="13" t="s">
        <v>3072</v>
      </c>
      <c r="H987" s="12" t="s">
        <v>3077</v>
      </c>
      <c r="I987" s="15">
        <v>6000</v>
      </c>
      <c r="J987" s="16" t="s">
        <v>2630</v>
      </c>
    </row>
    <row r="988" ht="60" spans="1:10">
      <c r="A988" s="10">
        <v>986</v>
      </c>
      <c r="B988" s="11" t="s">
        <v>11</v>
      </c>
      <c r="C988" s="11" t="s">
        <v>3078</v>
      </c>
      <c r="D988" s="12" t="s">
        <v>3079</v>
      </c>
      <c r="E988" s="12" t="s">
        <v>3080</v>
      </c>
      <c r="F988" s="12" t="s">
        <v>3081</v>
      </c>
      <c r="G988" s="13" t="s">
        <v>3072</v>
      </c>
      <c r="H988" s="12" t="s">
        <v>3082</v>
      </c>
      <c r="I988" s="15">
        <v>6560</v>
      </c>
      <c r="J988" s="16" t="s">
        <v>2630</v>
      </c>
    </row>
    <row r="989" ht="42.75" spans="1:10">
      <c r="A989" s="10">
        <v>987</v>
      </c>
      <c r="B989" s="11" t="s">
        <v>11</v>
      </c>
      <c r="C989" s="11" t="s">
        <v>3083</v>
      </c>
      <c r="D989" s="12" t="s">
        <v>3084</v>
      </c>
      <c r="E989" s="12" t="s">
        <v>3085</v>
      </c>
      <c r="F989" s="12" t="s">
        <v>3086</v>
      </c>
      <c r="G989" s="13" t="s">
        <v>3072</v>
      </c>
      <c r="H989" s="14"/>
      <c r="I989" s="15">
        <v>3444</v>
      </c>
      <c r="J989" s="16" t="s">
        <v>2630</v>
      </c>
    </row>
    <row r="990" ht="30" spans="1:10">
      <c r="A990" s="10">
        <v>988</v>
      </c>
      <c r="B990" s="11" t="s">
        <v>11</v>
      </c>
      <c r="C990" s="11" t="s">
        <v>3087</v>
      </c>
      <c r="D990" s="12" t="s">
        <v>3088</v>
      </c>
      <c r="E990" s="14"/>
      <c r="F990" s="14"/>
      <c r="G990" s="13" t="s">
        <v>3072</v>
      </c>
      <c r="H990" s="14"/>
      <c r="I990" s="15">
        <v>1722</v>
      </c>
      <c r="J990" s="16" t="s">
        <v>2630</v>
      </c>
    </row>
    <row r="991" ht="30" spans="1:10">
      <c r="A991" s="10">
        <v>989</v>
      </c>
      <c r="B991" s="11" t="s">
        <v>11</v>
      </c>
      <c r="C991" s="11" t="s">
        <v>3089</v>
      </c>
      <c r="D991" s="12" t="s">
        <v>3090</v>
      </c>
      <c r="E991" s="14"/>
      <c r="F991" s="14"/>
      <c r="G991" s="13" t="s">
        <v>3072</v>
      </c>
      <c r="H991" s="14"/>
      <c r="I991" s="15">
        <v>1722</v>
      </c>
      <c r="J991" s="16" t="s">
        <v>2630</v>
      </c>
    </row>
    <row r="992" ht="28.5" spans="1:10">
      <c r="A992" s="10">
        <v>990</v>
      </c>
      <c r="B992" s="11" t="s">
        <v>11</v>
      </c>
      <c r="C992" s="11" t="s">
        <v>3091</v>
      </c>
      <c r="D992" s="12" t="s">
        <v>3092</v>
      </c>
      <c r="E992" s="12" t="s">
        <v>3093</v>
      </c>
      <c r="F992" s="12" t="s">
        <v>3094</v>
      </c>
      <c r="G992" s="13" t="s">
        <v>3095</v>
      </c>
      <c r="H992" s="14"/>
      <c r="I992" s="15">
        <v>167.28</v>
      </c>
      <c r="J992" s="16" t="s">
        <v>2630</v>
      </c>
    </row>
    <row r="993" ht="61.5" spans="1:10">
      <c r="A993" s="10">
        <v>991</v>
      </c>
      <c r="B993" s="11" t="s">
        <v>11</v>
      </c>
      <c r="C993" s="11" t="s">
        <v>3096</v>
      </c>
      <c r="D993" s="12" t="s">
        <v>3097</v>
      </c>
      <c r="E993" s="12" t="s">
        <v>3098</v>
      </c>
      <c r="F993" s="12" t="s">
        <v>3099</v>
      </c>
      <c r="G993" s="13" t="s">
        <v>3017</v>
      </c>
      <c r="H993" s="14" t="s">
        <v>3100</v>
      </c>
      <c r="I993" s="15">
        <v>180</v>
      </c>
      <c r="J993" s="16" t="s">
        <v>2630</v>
      </c>
    </row>
    <row r="994" ht="28.5" spans="1:10">
      <c r="A994" s="10">
        <v>992</v>
      </c>
      <c r="B994" s="11" t="s">
        <v>177</v>
      </c>
      <c r="C994" s="11" t="s">
        <v>3101</v>
      </c>
      <c r="D994" s="12" t="s">
        <v>3102</v>
      </c>
      <c r="E994" s="12" t="s">
        <v>3103</v>
      </c>
      <c r="F994" s="12" t="s">
        <v>3104</v>
      </c>
      <c r="G994" s="13" t="s">
        <v>16</v>
      </c>
      <c r="H994" s="14"/>
      <c r="I994" s="15">
        <v>118.9</v>
      </c>
      <c r="J994" s="16" t="s">
        <v>2630</v>
      </c>
    </row>
    <row r="995" ht="42.75" spans="1:10">
      <c r="A995" s="10">
        <v>993</v>
      </c>
      <c r="B995" s="11" t="s">
        <v>177</v>
      </c>
      <c r="C995" s="11" t="s">
        <v>3105</v>
      </c>
      <c r="D995" s="12" t="s">
        <v>3106</v>
      </c>
      <c r="E995" s="12" t="s">
        <v>3107</v>
      </c>
      <c r="F995" s="12" t="s">
        <v>3108</v>
      </c>
      <c r="G995" s="13" t="s">
        <v>16</v>
      </c>
      <c r="H995" s="12" t="s">
        <v>3109</v>
      </c>
      <c r="I995" s="15">
        <v>36.08</v>
      </c>
      <c r="J995" s="16" t="s">
        <v>2630</v>
      </c>
    </row>
    <row r="996" ht="42.75" spans="1:10">
      <c r="A996" s="10">
        <v>994</v>
      </c>
      <c r="B996" s="11" t="s">
        <v>177</v>
      </c>
      <c r="C996" s="11" t="s">
        <v>3110</v>
      </c>
      <c r="D996" s="12" t="s">
        <v>3111</v>
      </c>
      <c r="E996" s="12" t="s">
        <v>3112</v>
      </c>
      <c r="F996" s="12" t="s">
        <v>3113</v>
      </c>
      <c r="G996" s="13" t="s">
        <v>374</v>
      </c>
      <c r="H996" s="12" t="s">
        <v>3109</v>
      </c>
      <c r="I996" s="15">
        <v>16</v>
      </c>
      <c r="J996" s="16" t="s">
        <v>2630</v>
      </c>
    </row>
    <row r="997" ht="28.5" spans="1:10">
      <c r="A997" s="10">
        <v>995</v>
      </c>
      <c r="B997" s="11" t="s">
        <v>11</v>
      </c>
      <c r="C997" s="11" t="s">
        <v>3114</v>
      </c>
      <c r="D997" s="12" t="s">
        <v>3115</v>
      </c>
      <c r="E997" s="12" t="s">
        <v>3116</v>
      </c>
      <c r="F997" s="12" t="s">
        <v>3117</v>
      </c>
      <c r="G997" s="13" t="s">
        <v>2727</v>
      </c>
      <c r="H997" s="14"/>
      <c r="I997" s="15">
        <v>10</v>
      </c>
      <c r="J997" s="16" t="s">
        <v>2630</v>
      </c>
    </row>
    <row r="998" ht="28.5" spans="1:10">
      <c r="A998" s="10">
        <v>996</v>
      </c>
      <c r="B998" s="11" t="s">
        <v>11</v>
      </c>
      <c r="C998" s="11" t="s">
        <v>3118</v>
      </c>
      <c r="D998" s="12" t="s">
        <v>3119</v>
      </c>
      <c r="E998" s="12" t="s">
        <v>3120</v>
      </c>
      <c r="F998" s="12" t="s">
        <v>3121</v>
      </c>
      <c r="G998" s="13" t="s">
        <v>2727</v>
      </c>
      <c r="H998" s="14"/>
      <c r="I998" s="15">
        <v>19.68</v>
      </c>
      <c r="J998" s="16" t="s">
        <v>2630</v>
      </c>
    </row>
    <row r="999" ht="30" spans="1:10">
      <c r="A999" s="10">
        <v>997</v>
      </c>
      <c r="B999" s="11" t="s">
        <v>11</v>
      </c>
      <c r="C999" s="11" t="s">
        <v>3122</v>
      </c>
      <c r="D999" s="12" t="s">
        <v>3123</v>
      </c>
      <c r="E999" s="14"/>
      <c r="F999" s="14"/>
      <c r="G999" s="13" t="s">
        <v>2727</v>
      </c>
      <c r="H999" s="14"/>
      <c r="I999" s="15">
        <v>19.68</v>
      </c>
      <c r="J999" s="16" t="s">
        <v>2630</v>
      </c>
    </row>
    <row r="1000" ht="42.75" spans="1:10">
      <c r="A1000" s="10">
        <v>998</v>
      </c>
      <c r="B1000" s="11" t="s">
        <v>11</v>
      </c>
      <c r="C1000" s="11" t="s">
        <v>3124</v>
      </c>
      <c r="D1000" s="12" t="s">
        <v>3125</v>
      </c>
      <c r="E1000" s="12" t="s">
        <v>3126</v>
      </c>
      <c r="F1000" s="12" t="s">
        <v>3127</v>
      </c>
      <c r="G1000" s="13" t="s">
        <v>2727</v>
      </c>
      <c r="H1000" s="12" t="s">
        <v>3128</v>
      </c>
      <c r="I1000" s="15">
        <v>9</v>
      </c>
      <c r="J1000" s="16" t="s">
        <v>2630</v>
      </c>
    </row>
    <row r="1001" ht="30" spans="1:10">
      <c r="A1001" s="10">
        <v>999</v>
      </c>
      <c r="B1001" s="11" t="s">
        <v>11</v>
      </c>
      <c r="C1001" s="11" t="s">
        <v>3129</v>
      </c>
      <c r="D1001" s="12" t="s">
        <v>3130</v>
      </c>
      <c r="E1001" s="14"/>
      <c r="F1001" s="14"/>
      <c r="G1001" s="13" t="s">
        <v>2727</v>
      </c>
      <c r="H1001" s="14"/>
      <c r="I1001" s="15">
        <v>9</v>
      </c>
      <c r="J1001" s="16" t="s">
        <v>2630</v>
      </c>
    </row>
    <row r="1002" ht="28.5" spans="1:10">
      <c r="A1002" s="10">
        <v>1000</v>
      </c>
      <c r="B1002" s="11" t="s">
        <v>11</v>
      </c>
      <c r="C1002" s="11" t="s">
        <v>3131</v>
      </c>
      <c r="D1002" s="12" t="s">
        <v>3132</v>
      </c>
      <c r="E1002" s="12" t="s">
        <v>3133</v>
      </c>
      <c r="F1002" s="12" t="s">
        <v>3134</v>
      </c>
      <c r="G1002" s="13" t="s">
        <v>2727</v>
      </c>
      <c r="H1002" s="14"/>
      <c r="I1002" s="15">
        <v>4.1</v>
      </c>
      <c r="J1002" s="16" t="s">
        <v>2630</v>
      </c>
    </row>
    <row r="1003" ht="30" spans="1:10">
      <c r="A1003" s="10">
        <v>1001</v>
      </c>
      <c r="B1003" s="11" t="s">
        <v>11</v>
      </c>
      <c r="C1003" s="11" t="s">
        <v>3135</v>
      </c>
      <c r="D1003" s="12" t="s">
        <v>3136</v>
      </c>
      <c r="E1003" s="12" t="s">
        <v>3137</v>
      </c>
      <c r="F1003" s="12" t="s">
        <v>3138</v>
      </c>
      <c r="G1003" s="13" t="s">
        <v>2727</v>
      </c>
      <c r="H1003" s="41"/>
      <c r="I1003" s="15">
        <v>3</v>
      </c>
      <c r="J1003" s="16" t="s">
        <v>2630</v>
      </c>
    </row>
    <row r="1004" ht="28.5" spans="1:10">
      <c r="A1004" s="10">
        <v>1002</v>
      </c>
      <c r="B1004" s="11" t="s">
        <v>11</v>
      </c>
      <c r="C1004" s="11" t="s">
        <v>3139</v>
      </c>
      <c r="D1004" s="12" t="s">
        <v>3140</v>
      </c>
      <c r="E1004" s="12" t="s">
        <v>3141</v>
      </c>
      <c r="F1004" s="12" t="s">
        <v>3142</v>
      </c>
      <c r="G1004" s="13" t="s">
        <v>2727</v>
      </c>
      <c r="H1004" s="14"/>
      <c r="I1004" s="15">
        <v>18.04</v>
      </c>
      <c r="J1004" s="16" t="s">
        <v>2630</v>
      </c>
    </row>
    <row r="1005" ht="30" spans="1:10">
      <c r="A1005" s="10">
        <v>1003</v>
      </c>
      <c r="B1005" s="11" t="s">
        <v>11</v>
      </c>
      <c r="C1005" s="11" t="s">
        <v>3143</v>
      </c>
      <c r="D1005" s="12" t="s">
        <v>3144</v>
      </c>
      <c r="E1005" s="14"/>
      <c r="F1005" s="14"/>
      <c r="G1005" s="13" t="s">
        <v>2727</v>
      </c>
      <c r="H1005" s="14"/>
      <c r="I1005" s="15">
        <v>18.04</v>
      </c>
      <c r="J1005" s="16" t="s">
        <v>2630</v>
      </c>
    </row>
    <row r="1006" ht="42.75" spans="1:10">
      <c r="A1006" s="10">
        <v>1004</v>
      </c>
      <c r="B1006" s="11" t="s">
        <v>211</v>
      </c>
      <c r="C1006" s="11" t="s">
        <v>3145</v>
      </c>
      <c r="D1006" s="12" t="s">
        <v>3146</v>
      </c>
      <c r="E1006" s="12" t="s">
        <v>3147</v>
      </c>
      <c r="F1006" s="12" t="s">
        <v>3148</v>
      </c>
      <c r="G1006" s="13" t="s">
        <v>2727</v>
      </c>
      <c r="H1006" s="14"/>
      <c r="I1006" s="15">
        <v>35.26</v>
      </c>
      <c r="J1006" s="16" t="s">
        <v>2630</v>
      </c>
    </row>
    <row r="1007" ht="15.75" spans="1:10">
      <c r="A1007" s="10">
        <v>1005</v>
      </c>
      <c r="B1007" s="11" t="s">
        <v>211</v>
      </c>
      <c r="C1007" s="11" t="s">
        <v>3149</v>
      </c>
      <c r="D1007" s="12" t="s">
        <v>3150</v>
      </c>
      <c r="E1007" s="14"/>
      <c r="F1007" s="14"/>
      <c r="G1007" s="13" t="s">
        <v>2727</v>
      </c>
      <c r="H1007" s="14"/>
      <c r="I1007" s="78">
        <f>35*0.3</f>
        <v>10.5</v>
      </c>
      <c r="J1007" s="16" t="s">
        <v>2630</v>
      </c>
    </row>
    <row r="1008" ht="42.75" spans="1:10">
      <c r="A1008" s="10">
        <v>1006</v>
      </c>
      <c r="B1008" s="11" t="s">
        <v>11</v>
      </c>
      <c r="C1008" s="11" t="s">
        <v>3151</v>
      </c>
      <c r="D1008" s="12" t="s">
        <v>3152</v>
      </c>
      <c r="E1008" s="12" t="s">
        <v>3153</v>
      </c>
      <c r="F1008" s="12" t="s">
        <v>3154</v>
      </c>
      <c r="G1008" s="13" t="s">
        <v>2727</v>
      </c>
      <c r="H1008" s="14"/>
      <c r="I1008" s="15">
        <v>66.4444444444444</v>
      </c>
      <c r="J1008" s="16" t="s">
        <v>2630</v>
      </c>
    </row>
    <row r="1009" ht="30" spans="1:10">
      <c r="A1009" s="10">
        <v>1007</v>
      </c>
      <c r="B1009" s="11" t="s">
        <v>11</v>
      </c>
      <c r="C1009" s="11" t="s">
        <v>3155</v>
      </c>
      <c r="D1009" s="12" t="s">
        <v>3156</v>
      </c>
      <c r="E1009" s="14"/>
      <c r="F1009" s="14"/>
      <c r="G1009" s="13" t="s">
        <v>2727</v>
      </c>
      <c r="H1009" s="14"/>
      <c r="I1009" s="15">
        <v>66.4444444444444</v>
      </c>
      <c r="J1009" s="16" t="s">
        <v>2630</v>
      </c>
    </row>
    <row r="1010" ht="42.75" spans="1:10">
      <c r="A1010" s="10">
        <v>1008</v>
      </c>
      <c r="B1010" s="11" t="s">
        <v>11</v>
      </c>
      <c r="C1010" s="11" t="s">
        <v>3157</v>
      </c>
      <c r="D1010" s="12" t="s">
        <v>3158</v>
      </c>
      <c r="E1010" s="12" t="s">
        <v>3159</v>
      </c>
      <c r="F1010" s="12" t="s">
        <v>3160</v>
      </c>
      <c r="G1010" s="13" t="s">
        <v>2727</v>
      </c>
      <c r="H1010" s="14"/>
      <c r="I1010" s="81">
        <v>4.5</v>
      </c>
      <c r="J1010" s="16" t="s">
        <v>2630</v>
      </c>
    </row>
    <row r="1011" ht="57" spans="1:10">
      <c r="A1011" s="10">
        <v>1009</v>
      </c>
      <c r="B1011" s="11" t="s">
        <v>211</v>
      </c>
      <c r="C1011" s="11" t="s">
        <v>3161</v>
      </c>
      <c r="D1011" s="12" t="s">
        <v>3162</v>
      </c>
      <c r="E1011" s="12" t="s">
        <v>3163</v>
      </c>
      <c r="F1011" s="12" t="s">
        <v>3164</v>
      </c>
      <c r="G1011" s="13" t="s">
        <v>2727</v>
      </c>
      <c r="H1011" s="12" t="s">
        <v>3165</v>
      </c>
      <c r="I1011" s="15">
        <v>236.16</v>
      </c>
      <c r="J1011" s="16" t="s">
        <v>2630</v>
      </c>
    </row>
    <row r="1012" ht="15.75" spans="1:10">
      <c r="A1012" s="10">
        <v>1010</v>
      </c>
      <c r="B1012" s="11" t="s">
        <v>211</v>
      </c>
      <c r="C1012" s="11" t="s">
        <v>3166</v>
      </c>
      <c r="D1012" s="12" t="s">
        <v>3167</v>
      </c>
      <c r="E1012" s="14"/>
      <c r="F1012" s="14"/>
      <c r="G1012" s="13" t="s">
        <v>2727</v>
      </c>
      <c r="H1012" s="14"/>
      <c r="I1012" s="78">
        <f>236*0.3</f>
        <v>70.8</v>
      </c>
      <c r="J1012" s="16" t="s">
        <v>2630</v>
      </c>
    </row>
    <row r="1013" ht="57" spans="1:10">
      <c r="A1013" s="10">
        <v>1011</v>
      </c>
      <c r="B1013" s="11" t="s">
        <v>211</v>
      </c>
      <c r="C1013" s="11" t="s">
        <v>3168</v>
      </c>
      <c r="D1013" s="12" t="s">
        <v>3169</v>
      </c>
      <c r="E1013" s="14"/>
      <c r="F1013" s="14"/>
      <c r="G1013" s="13" t="s">
        <v>2727</v>
      </c>
      <c r="H1013" s="12" t="s">
        <v>3165</v>
      </c>
      <c r="I1013" s="15">
        <v>118</v>
      </c>
      <c r="J1013" s="16" t="s">
        <v>2630</v>
      </c>
    </row>
    <row r="1014" ht="42.75" spans="1:10">
      <c r="A1014" s="10">
        <v>1012</v>
      </c>
      <c r="B1014" s="11" t="s">
        <v>211</v>
      </c>
      <c r="C1014" s="11" t="s">
        <v>3170</v>
      </c>
      <c r="D1014" s="12" t="s">
        <v>3171</v>
      </c>
      <c r="E1014" s="12" t="s">
        <v>3172</v>
      </c>
      <c r="F1014" s="12" t="s">
        <v>3173</v>
      </c>
      <c r="G1014" s="13" t="s">
        <v>2727</v>
      </c>
      <c r="H1014" s="14"/>
      <c r="I1014" s="15">
        <v>355.88</v>
      </c>
      <c r="J1014" s="16" t="s">
        <v>2630</v>
      </c>
    </row>
    <row r="1015" ht="15.75" spans="1:10">
      <c r="A1015" s="10">
        <v>1013</v>
      </c>
      <c r="B1015" s="11" t="s">
        <v>211</v>
      </c>
      <c r="C1015" s="11" t="s">
        <v>3174</v>
      </c>
      <c r="D1015" s="12" t="s">
        <v>3175</v>
      </c>
      <c r="E1015" s="14"/>
      <c r="F1015" s="14"/>
      <c r="G1015" s="13" t="s">
        <v>2727</v>
      </c>
      <c r="H1015" s="14"/>
      <c r="I1015" s="78">
        <f>356*0.3</f>
        <v>106.8</v>
      </c>
      <c r="J1015" s="16" t="s">
        <v>2630</v>
      </c>
    </row>
    <row r="1016" ht="30" spans="1:10">
      <c r="A1016" s="10">
        <v>1014</v>
      </c>
      <c r="B1016" s="11" t="s">
        <v>211</v>
      </c>
      <c r="C1016" s="11" t="s">
        <v>3176</v>
      </c>
      <c r="D1016" s="12" t="s">
        <v>3177</v>
      </c>
      <c r="E1016" s="14"/>
      <c r="F1016" s="14"/>
      <c r="G1016" s="13" t="s">
        <v>2727</v>
      </c>
      <c r="H1016" s="14"/>
      <c r="I1016" s="15">
        <v>355.88</v>
      </c>
      <c r="J1016" s="16" t="s">
        <v>2630</v>
      </c>
    </row>
    <row r="1017" ht="57" spans="1:10">
      <c r="A1017" s="10">
        <v>1015</v>
      </c>
      <c r="B1017" s="11" t="s">
        <v>211</v>
      </c>
      <c r="C1017" s="11" t="s">
        <v>3178</v>
      </c>
      <c r="D1017" s="12" t="s">
        <v>3179</v>
      </c>
      <c r="E1017" s="12" t="s">
        <v>3180</v>
      </c>
      <c r="F1017" s="12" t="s">
        <v>3181</v>
      </c>
      <c r="G1017" s="13" t="s">
        <v>2727</v>
      </c>
      <c r="H1017" s="14"/>
      <c r="I1017" s="15">
        <v>1188</v>
      </c>
      <c r="J1017" s="16" t="s">
        <v>2630</v>
      </c>
    </row>
    <row r="1018" ht="30" spans="1:10">
      <c r="A1018" s="10">
        <v>1016</v>
      </c>
      <c r="B1018" s="11" t="s">
        <v>211</v>
      </c>
      <c r="C1018" s="11" t="s">
        <v>3182</v>
      </c>
      <c r="D1018" s="12" t="s">
        <v>3183</v>
      </c>
      <c r="E1018" s="14"/>
      <c r="F1018" s="14"/>
      <c r="G1018" s="13" t="s">
        <v>2727</v>
      </c>
      <c r="H1018" s="14"/>
      <c r="I1018" s="78">
        <f>1188*0.3</f>
        <v>356.4</v>
      </c>
      <c r="J1018" s="16" t="s">
        <v>2630</v>
      </c>
    </row>
    <row r="1019" ht="30" spans="1:10">
      <c r="A1019" s="10">
        <v>1017</v>
      </c>
      <c r="B1019" s="11" t="s">
        <v>211</v>
      </c>
      <c r="C1019" s="11" t="s">
        <v>3184</v>
      </c>
      <c r="D1019" s="12" t="s">
        <v>3185</v>
      </c>
      <c r="E1019" s="14"/>
      <c r="F1019" s="14"/>
      <c r="G1019" s="13" t="s">
        <v>2727</v>
      </c>
      <c r="H1019" s="14"/>
      <c r="I1019" s="15">
        <v>1188</v>
      </c>
      <c r="J1019" s="16" t="s">
        <v>2630</v>
      </c>
    </row>
    <row r="1020" ht="42.75" spans="1:10">
      <c r="A1020" s="10">
        <v>1018</v>
      </c>
      <c r="B1020" s="11" t="s">
        <v>211</v>
      </c>
      <c r="C1020" s="11" t="s">
        <v>3186</v>
      </c>
      <c r="D1020" s="12" t="s">
        <v>3187</v>
      </c>
      <c r="E1020" s="12" t="s">
        <v>3188</v>
      </c>
      <c r="F1020" s="12" t="s">
        <v>3189</v>
      </c>
      <c r="G1020" s="13" t="s">
        <v>2727</v>
      </c>
      <c r="H1020" s="14"/>
      <c r="I1020" s="15">
        <v>434</v>
      </c>
      <c r="J1020" s="16" t="s">
        <v>2630</v>
      </c>
    </row>
    <row r="1021" ht="30" spans="1:10">
      <c r="A1021" s="10">
        <v>1019</v>
      </c>
      <c r="B1021" s="11" t="s">
        <v>211</v>
      </c>
      <c r="C1021" s="11" t="s">
        <v>3190</v>
      </c>
      <c r="D1021" s="12" t="s">
        <v>3191</v>
      </c>
      <c r="E1021" s="14"/>
      <c r="F1021" s="14"/>
      <c r="G1021" s="13" t="s">
        <v>2727</v>
      </c>
      <c r="H1021" s="14"/>
      <c r="I1021" s="78">
        <f>434*0.3</f>
        <v>130.2</v>
      </c>
      <c r="J1021" s="16" t="s">
        <v>2630</v>
      </c>
    </row>
    <row r="1022" ht="42.75" spans="1:10">
      <c r="A1022" s="10">
        <v>1020</v>
      </c>
      <c r="B1022" s="11" t="s">
        <v>211</v>
      </c>
      <c r="C1022" s="11" t="s">
        <v>3192</v>
      </c>
      <c r="D1022" s="12" t="s">
        <v>3193</v>
      </c>
      <c r="E1022" s="12" t="s">
        <v>3194</v>
      </c>
      <c r="F1022" s="12" t="s">
        <v>3195</v>
      </c>
      <c r="G1022" s="13" t="s">
        <v>2727</v>
      </c>
      <c r="H1022" s="14"/>
      <c r="I1022" s="15">
        <v>95</v>
      </c>
      <c r="J1022" s="16" t="s">
        <v>2630</v>
      </c>
    </row>
    <row r="1023" ht="30" spans="1:10">
      <c r="A1023" s="10">
        <v>1021</v>
      </c>
      <c r="B1023" s="11" t="s">
        <v>211</v>
      </c>
      <c r="C1023" s="11" t="s">
        <v>3196</v>
      </c>
      <c r="D1023" s="12" t="s">
        <v>3197</v>
      </c>
      <c r="E1023" s="14"/>
      <c r="F1023" s="14"/>
      <c r="G1023" s="13" t="s">
        <v>2727</v>
      </c>
      <c r="H1023" s="14"/>
      <c r="I1023" s="78">
        <f>95*0.3</f>
        <v>28.5</v>
      </c>
      <c r="J1023" s="16" t="s">
        <v>2630</v>
      </c>
    </row>
    <row r="1024" ht="42.75" spans="1:10">
      <c r="A1024" s="10">
        <v>1022</v>
      </c>
      <c r="B1024" s="11" t="s">
        <v>211</v>
      </c>
      <c r="C1024" s="11" t="s">
        <v>3198</v>
      </c>
      <c r="D1024" s="12" t="s">
        <v>3199</v>
      </c>
      <c r="E1024" s="12" t="s">
        <v>3200</v>
      </c>
      <c r="F1024" s="12" t="s">
        <v>3201</v>
      </c>
      <c r="G1024" s="13" t="s">
        <v>2727</v>
      </c>
      <c r="H1024" s="14"/>
      <c r="I1024" s="15">
        <v>600</v>
      </c>
      <c r="J1024" s="16" t="s">
        <v>2630</v>
      </c>
    </row>
    <row r="1025" ht="30" spans="1:10">
      <c r="A1025" s="10">
        <v>1023</v>
      </c>
      <c r="B1025" s="11" t="s">
        <v>211</v>
      </c>
      <c r="C1025" s="11" t="s">
        <v>3202</v>
      </c>
      <c r="D1025" s="12" t="s">
        <v>3203</v>
      </c>
      <c r="E1025" s="14"/>
      <c r="F1025" s="14"/>
      <c r="G1025" s="13" t="s">
        <v>2727</v>
      </c>
      <c r="H1025" s="14"/>
      <c r="I1025" s="78">
        <f>600*0.3</f>
        <v>180</v>
      </c>
      <c r="J1025" s="16" t="s">
        <v>2630</v>
      </c>
    </row>
    <row r="1026" ht="30" spans="1:10">
      <c r="A1026" s="10">
        <v>1024</v>
      </c>
      <c r="B1026" s="11" t="s">
        <v>211</v>
      </c>
      <c r="C1026" s="11" t="s">
        <v>3204</v>
      </c>
      <c r="D1026" s="12" t="s">
        <v>3205</v>
      </c>
      <c r="E1026" s="14"/>
      <c r="F1026" s="14"/>
      <c r="G1026" s="13" t="s">
        <v>2727</v>
      </c>
      <c r="H1026" s="14"/>
      <c r="I1026" s="15">
        <v>600</v>
      </c>
      <c r="J1026" s="16" t="s">
        <v>2630</v>
      </c>
    </row>
    <row r="1027" ht="44.25" spans="1:10">
      <c r="A1027" s="10">
        <v>1025</v>
      </c>
      <c r="B1027" s="11" t="s">
        <v>11</v>
      </c>
      <c r="C1027" s="11" t="s">
        <v>3206</v>
      </c>
      <c r="D1027" s="12" t="s">
        <v>3207</v>
      </c>
      <c r="E1027" s="12" t="s">
        <v>3208</v>
      </c>
      <c r="F1027" s="12" t="s">
        <v>3209</v>
      </c>
      <c r="G1027" s="13" t="s">
        <v>16</v>
      </c>
      <c r="H1027" s="12" t="s">
        <v>3210</v>
      </c>
      <c r="I1027" s="15">
        <v>164</v>
      </c>
      <c r="J1027" s="16" t="s">
        <v>2630</v>
      </c>
    </row>
    <row r="1028" ht="42.75" spans="1:10">
      <c r="A1028" s="10">
        <v>1026</v>
      </c>
      <c r="B1028" s="11" t="s">
        <v>177</v>
      </c>
      <c r="C1028" s="11" t="s">
        <v>3211</v>
      </c>
      <c r="D1028" s="12" t="s">
        <v>3212</v>
      </c>
      <c r="E1028" s="12" t="s">
        <v>3213</v>
      </c>
      <c r="F1028" s="12" t="s">
        <v>3214</v>
      </c>
      <c r="G1028" s="13" t="s">
        <v>2727</v>
      </c>
      <c r="H1028" s="14"/>
      <c r="I1028" s="15">
        <v>10</v>
      </c>
      <c r="J1028" s="16" t="s">
        <v>2630</v>
      </c>
    </row>
    <row r="1029" ht="28.5" spans="1:10">
      <c r="A1029" s="10">
        <v>1027</v>
      </c>
      <c r="B1029" s="11" t="s">
        <v>177</v>
      </c>
      <c r="C1029" s="11" t="s">
        <v>3215</v>
      </c>
      <c r="D1029" s="12" t="s">
        <v>3216</v>
      </c>
      <c r="E1029" s="12" t="s">
        <v>3217</v>
      </c>
      <c r="F1029" s="12" t="s">
        <v>3214</v>
      </c>
      <c r="G1029" s="13" t="s">
        <v>16</v>
      </c>
      <c r="H1029" s="14"/>
      <c r="I1029" s="15">
        <v>60</v>
      </c>
      <c r="J1029" s="16" t="s">
        <v>2630</v>
      </c>
    </row>
    <row r="1030" ht="42.75" spans="1:10">
      <c r="A1030" s="10">
        <v>1028</v>
      </c>
      <c r="B1030" s="11" t="s">
        <v>177</v>
      </c>
      <c r="C1030" s="11" t="s">
        <v>3218</v>
      </c>
      <c r="D1030" s="12" t="s">
        <v>3219</v>
      </c>
      <c r="E1030" s="12" t="s">
        <v>3220</v>
      </c>
      <c r="F1030" s="12" t="s">
        <v>3221</v>
      </c>
      <c r="G1030" s="13" t="s">
        <v>16</v>
      </c>
      <c r="H1030" s="14"/>
      <c r="I1030" s="15">
        <v>16</v>
      </c>
      <c r="J1030" s="16" t="s">
        <v>2630</v>
      </c>
    </row>
    <row r="1031" ht="42.75" spans="1:10">
      <c r="A1031" s="10">
        <v>1029</v>
      </c>
      <c r="B1031" s="11" t="s">
        <v>177</v>
      </c>
      <c r="C1031" s="11" t="s">
        <v>3222</v>
      </c>
      <c r="D1031" s="12" t="s">
        <v>3223</v>
      </c>
      <c r="E1031" s="12" t="s">
        <v>3224</v>
      </c>
      <c r="F1031" s="12" t="s">
        <v>3225</v>
      </c>
      <c r="G1031" s="13" t="s">
        <v>16</v>
      </c>
      <c r="H1031" s="14"/>
      <c r="I1031" s="15">
        <v>19</v>
      </c>
      <c r="J1031" s="16" t="s">
        <v>2630</v>
      </c>
    </row>
    <row r="1032" ht="107.25" spans="1:10">
      <c r="A1032" s="10">
        <v>1030</v>
      </c>
      <c r="B1032" s="11" t="s">
        <v>11</v>
      </c>
      <c r="C1032" s="11" t="s">
        <v>3226</v>
      </c>
      <c r="D1032" s="12" t="s">
        <v>3227</v>
      </c>
      <c r="E1032" s="12" t="s">
        <v>3228</v>
      </c>
      <c r="F1032" s="12" t="s">
        <v>3229</v>
      </c>
      <c r="G1032" s="13" t="s">
        <v>3230</v>
      </c>
      <c r="H1032" s="14" t="s">
        <v>3231</v>
      </c>
      <c r="I1032" s="15">
        <v>29</v>
      </c>
      <c r="J1032" s="16" t="s">
        <v>2630</v>
      </c>
    </row>
    <row r="1033" ht="75.75" spans="1:10">
      <c r="A1033" s="10">
        <v>1031</v>
      </c>
      <c r="B1033" s="11" t="s">
        <v>211</v>
      </c>
      <c r="C1033" s="11" t="s">
        <v>3232</v>
      </c>
      <c r="D1033" s="12" t="s">
        <v>3233</v>
      </c>
      <c r="E1033" s="12" t="s">
        <v>3234</v>
      </c>
      <c r="F1033" s="12" t="s">
        <v>3235</v>
      </c>
      <c r="G1033" s="13" t="s">
        <v>3230</v>
      </c>
      <c r="H1033" s="14" t="s">
        <v>3236</v>
      </c>
      <c r="I1033" s="15">
        <v>656</v>
      </c>
      <c r="J1033" s="16" t="s">
        <v>2630</v>
      </c>
    </row>
    <row r="1034" ht="30" spans="1:10">
      <c r="A1034" s="10">
        <v>1032</v>
      </c>
      <c r="B1034" s="11" t="s">
        <v>211</v>
      </c>
      <c r="C1034" s="11" t="s">
        <v>3237</v>
      </c>
      <c r="D1034" s="12" t="s">
        <v>3238</v>
      </c>
      <c r="E1034" s="14"/>
      <c r="F1034" s="14"/>
      <c r="G1034" s="13" t="s">
        <v>3239</v>
      </c>
      <c r="H1034" s="14"/>
      <c r="I1034" s="78">
        <f>656*0.3</f>
        <v>196.8</v>
      </c>
      <c r="J1034" s="16" t="s">
        <v>2630</v>
      </c>
    </row>
    <row r="1035" ht="75.75" spans="1:10">
      <c r="A1035" s="10">
        <v>1033</v>
      </c>
      <c r="B1035" s="11" t="s">
        <v>211</v>
      </c>
      <c r="C1035" s="11" t="s">
        <v>3240</v>
      </c>
      <c r="D1035" s="12" t="s">
        <v>3241</v>
      </c>
      <c r="E1035" s="12" t="s">
        <v>3242</v>
      </c>
      <c r="F1035" s="12" t="s">
        <v>3243</v>
      </c>
      <c r="G1035" s="13" t="s">
        <v>3230</v>
      </c>
      <c r="H1035" s="14" t="s">
        <v>3236</v>
      </c>
      <c r="I1035" s="15">
        <v>182.04</v>
      </c>
      <c r="J1035" s="16" t="s">
        <v>2630</v>
      </c>
    </row>
    <row r="1036" ht="30" spans="1:10">
      <c r="A1036" s="10">
        <v>1034</v>
      </c>
      <c r="B1036" s="11" t="s">
        <v>211</v>
      </c>
      <c r="C1036" s="11" t="s">
        <v>3244</v>
      </c>
      <c r="D1036" s="12" t="s">
        <v>3245</v>
      </c>
      <c r="E1036" s="14"/>
      <c r="F1036" s="14"/>
      <c r="G1036" s="13" t="s">
        <v>3239</v>
      </c>
      <c r="H1036" s="14"/>
      <c r="I1036" s="78">
        <f>182*0.3</f>
        <v>54.6</v>
      </c>
      <c r="J1036" s="16" t="s">
        <v>2630</v>
      </c>
    </row>
    <row r="1037" ht="44.25" spans="1:10">
      <c r="A1037" s="10">
        <v>1035</v>
      </c>
      <c r="B1037" s="11" t="s">
        <v>11</v>
      </c>
      <c r="C1037" s="11" t="s">
        <v>3246</v>
      </c>
      <c r="D1037" s="12" t="s">
        <v>3247</v>
      </c>
      <c r="E1037" s="12" t="s">
        <v>3248</v>
      </c>
      <c r="F1037" s="12" t="s">
        <v>3249</v>
      </c>
      <c r="G1037" s="13" t="s">
        <v>2920</v>
      </c>
      <c r="H1037" s="14"/>
      <c r="I1037" s="15">
        <v>17</v>
      </c>
      <c r="J1037" s="16" t="s">
        <v>2630</v>
      </c>
    </row>
    <row r="1038" ht="47.25" spans="1:10">
      <c r="A1038" s="10">
        <v>1036</v>
      </c>
      <c r="B1038" s="10" t="s">
        <v>177</v>
      </c>
      <c r="C1038" s="96" t="s">
        <v>3250</v>
      </c>
      <c r="D1038" s="12" t="s">
        <v>3251</v>
      </c>
      <c r="E1038" s="12" t="s">
        <v>3252</v>
      </c>
      <c r="F1038" s="12" t="s">
        <v>3253</v>
      </c>
      <c r="G1038" s="13" t="s">
        <v>16</v>
      </c>
      <c r="H1038" s="82" t="s">
        <v>3254</v>
      </c>
      <c r="I1038" s="47">
        <v>430</v>
      </c>
      <c r="J1038" s="16" t="s">
        <v>3255</v>
      </c>
    </row>
    <row r="1039" ht="30" spans="1:10">
      <c r="A1039" s="10">
        <v>1037</v>
      </c>
      <c r="B1039" s="10" t="s">
        <v>177</v>
      </c>
      <c r="C1039" s="96" t="s">
        <v>3256</v>
      </c>
      <c r="D1039" s="12" t="s">
        <v>3257</v>
      </c>
      <c r="E1039" s="14"/>
      <c r="F1039" s="14"/>
      <c r="G1039" s="13" t="s">
        <v>16</v>
      </c>
      <c r="H1039" s="83"/>
      <c r="I1039" s="47">
        <v>43</v>
      </c>
      <c r="J1039" s="16" t="s">
        <v>3255</v>
      </c>
    </row>
    <row r="1040" ht="164.25" spans="1:10">
      <c r="A1040" s="10">
        <v>1038</v>
      </c>
      <c r="B1040" s="10" t="s">
        <v>177</v>
      </c>
      <c r="C1040" s="96" t="s">
        <v>3258</v>
      </c>
      <c r="D1040" s="12" t="s">
        <v>3259</v>
      </c>
      <c r="E1040" s="12" t="s">
        <v>3260</v>
      </c>
      <c r="F1040" s="12" t="s">
        <v>3253</v>
      </c>
      <c r="G1040" s="13" t="s">
        <v>374</v>
      </c>
      <c r="H1040" s="84" t="s">
        <v>3261</v>
      </c>
      <c r="I1040" s="47">
        <v>422</v>
      </c>
      <c r="J1040" s="16" t="s">
        <v>3255</v>
      </c>
    </row>
    <row r="1041" ht="57" spans="1:10">
      <c r="A1041" s="10">
        <v>1039</v>
      </c>
      <c r="B1041" s="10" t="s">
        <v>177</v>
      </c>
      <c r="C1041" s="96" t="s">
        <v>3262</v>
      </c>
      <c r="D1041" s="12" t="s">
        <v>3263</v>
      </c>
      <c r="E1041" s="12" t="s">
        <v>3264</v>
      </c>
      <c r="F1041" s="12" t="s">
        <v>3265</v>
      </c>
      <c r="G1041" s="13" t="s">
        <v>16</v>
      </c>
      <c r="H1041" s="83"/>
      <c r="I1041" s="47">
        <v>100.86</v>
      </c>
      <c r="J1041" s="16" t="s">
        <v>3255</v>
      </c>
    </row>
    <row r="1042" ht="42.75" spans="1:10">
      <c r="A1042" s="10">
        <v>1040</v>
      </c>
      <c r="B1042" s="10" t="s">
        <v>177</v>
      </c>
      <c r="C1042" s="96" t="s">
        <v>3266</v>
      </c>
      <c r="D1042" s="12" t="s">
        <v>3267</v>
      </c>
      <c r="E1042" s="12" t="s">
        <v>3268</v>
      </c>
      <c r="F1042" s="12" t="s">
        <v>3269</v>
      </c>
      <c r="G1042" s="13" t="s">
        <v>16</v>
      </c>
      <c r="H1042" s="82" t="s">
        <v>3270</v>
      </c>
      <c r="I1042" s="47">
        <v>244</v>
      </c>
      <c r="J1042" s="16" t="s">
        <v>3255</v>
      </c>
    </row>
    <row r="1043" ht="42.75" spans="1:10">
      <c r="A1043" s="10">
        <v>1041</v>
      </c>
      <c r="B1043" s="10" t="s">
        <v>177</v>
      </c>
      <c r="C1043" s="96" t="s">
        <v>3271</v>
      </c>
      <c r="D1043" s="12" t="s">
        <v>3272</v>
      </c>
      <c r="E1043" s="12" t="s">
        <v>3273</v>
      </c>
      <c r="F1043" s="12" t="s">
        <v>3269</v>
      </c>
      <c r="G1043" s="13" t="s">
        <v>16</v>
      </c>
      <c r="H1043" s="82" t="s">
        <v>3274</v>
      </c>
      <c r="I1043" s="47">
        <v>250</v>
      </c>
      <c r="J1043" s="16" t="s">
        <v>3255</v>
      </c>
    </row>
    <row r="1044" ht="57" spans="1:10">
      <c r="A1044" s="10">
        <v>1042</v>
      </c>
      <c r="B1044" s="10" t="s">
        <v>177</v>
      </c>
      <c r="C1044" s="96" t="s">
        <v>3275</v>
      </c>
      <c r="D1044" s="12" t="s">
        <v>3276</v>
      </c>
      <c r="E1044" s="12" t="s">
        <v>3277</v>
      </c>
      <c r="F1044" s="12" t="s">
        <v>3278</v>
      </c>
      <c r="G1044" s="13" t="s">
        <v>16</v>
      </c>
      <c r="H1044" s="83"/>
      <c r="I1044" s="47">
        <v>98.4</v>
      </c>
      <c r="J1044" s="16" t="s">
        <v>3255</v>
      </c>
    </row>
    <row r="1045" ht="75.75" spans="1:10">
      <c r="A1045" s="10">
        <v>1043</v>
      </c>
      <c r="B1045" s="10" t="s">
        <v>177</v>
      </c>
      <c r="C1045" s="96" t="s">
        <v>3279</v>
      </c>
      <c r="D1045" s="12" t="s">
        <v>3280</v>
      </c>
      <c r="E1045" s="12" t="s">
        <v>3281</v>
      </c>
      <c r="F1045" s="12" t="s">
        <v>3282</v>
      </c>
      <c r="G1045" s="13" t="s">
        <v>374</v>
      </c>
      <c r="H1045" s="82" t="s">
        <v>3283</v>
      </c>
      <c r="I1045" s="47">
        <v>165</v>
      </c>
      <c r="J1045" s="16" t="s">
        <v>3255</v>
      </c>
    </row>
    <row r="1046" ht="42.75" spans="1:10">
      <c r="A1046" s="10">
        <v>1044</v>
      </c>
      <c r="B1046" s="10" t="s">
        <v>177</v>
      </c>
      <c r="C1046" s="96" t="s">
        <v>3284</v>
      </c>
      <c r="D1046" s="12" t="s">
        <v>3285</v>
      </c>
      <c r="E1046" s="12" t="s">
        <v>3286</v>
      </c>
      <c r="F1046" s="12" t="s">
        <v>3287</v>
      </c>
      <c r="G1046" s="13" t="s">
        <v>16</v>
      </c>
      <c r="H1046" s="83"/>
      <c r="I1046" s="47">
        <v>350</v>
      </c>
      <c r="J1046" s="16" t="s">
        <v>3255</v>
      </c>
    </row>
    <row r="1047" ht="42.75" spans="1:10">
      <c r="A1047" s="10">
        <v>1045</v>
      </c>
      <c r="B1047" s="10" t="s">
        <v>177</v>
      </c>
      <c r="C1047" s="96" t="s">
        <v>3288</v>
      </c>
      <c r="D1047" s="12" t="s">
        <v>3289</v>
      </c>
      <c r="E1047" s="12" t="s">
        <v>3290</v>
      </c>
      <c r="F1047" s="12" t="s">
        <v>3291</v>
      </c>
      <c r="G1047" s="13" t="s">
        <v>16</v>
      </c>
      <c r="H1047" s="82" t="s">
        <v>3292</v>
      </c>
      <c r="I1047" s="47">
        <v>219</v>
      </c>
      <c r="J1047" s="16" t="s">
        <v>3255</v>
      </c>
    </row>
    <row r="1048" ht="60" spans="1:10">
      <c r="A1048" s="10">
        <v>1046</v>
      </c>
      <c r="B1048" s="10" t="s">
        <v>11</v>
      </c>
      <c r="C1048" s="96" t="s">
        <v>3293</v>
      </c>
      <c r="D1048" s="12" t="s">
        <v>3294</v>
      </c>
      <c r="E1048" s="12" t="s">
        <v>3295</v>
      </c>
      <c r="F1048" s="12" t="s">
        <v>3296</v>
      </c>
      <c r="G1048" s="13" t="s">
        <v>16</v>
      </c>
      <c r="H1048" s="82" t="s">
        <v>3297</v>
      </c>
      <c r="I1048" s="47">
        <v>1800</v>
      </c>
      <c r="J1048" s="16" t="s">
        <v>3255</v>
      </c>
    </row>
    <row r="1049" ht="42.75" spans="1:10">
      <c r="A1049" s="10">
        <v>1047</v>
      </c>
      <c r="B1049" s="10" t="s">
        <v>11</v>
      </c>
      <c r="C1049" s="96" t="s">
        <v>3298</v>
      </c>
      <c r="D1049" s="12" t="s">
        <v>3299</v>
      </c>
      <c r="E1049" s="12" t="s">
        <v>3300</v>
      </c>
      <c r="F1049" s="12" t="s">
        <v>3301</v>
      </c>
      <c r="G1049" s="13" t="s">
        <v>16</v>
      </c>
      <c r="H1049" s="83"/>
      <c r="I1049" s="47">
        <v>423</v>
      </c>
      <c r="J1049" s="16" t="s">
        <v>3255</v>
      </c>
    </row>
    <row r="1050" ht="30" spans="1:10">
      <c r="A1050" s="10">
        <v>1048</v>
      </c>
      <c r="B1050" s="10" t="s">
        <v>11</v>
      </c>
      <c r="C1050" s="96" t="s">
        <v>3302</v>
      </c>
      <c r="D1050" s="12" t="s">
        <v>3303</v>
      </c>
      <c r="E1050" s="14"/>
      <c r="F1050" s="14"/>
      <c r="G1050" s="13" t="s">
        <v>16</v>
      </c>
      <c r="H1050" s="83"/>
      <c r="I1050" s="47">
        <v>423</v>
      </c>
      <c r="J1050" s="16" t="s">
        <v>3255</v>
      </c>
    </row>
    <row r="1051" ht="42.75" spans="1:10">
      <c r="A1051" s="10">
        <v>1049</v>
      </c>
      <c r="B1051" s="10" t="s">
        <v>11</v>
      </c>
      <c r="C1051" s="96" t="s">
        <v>3304</v>
      </c>
      <c r="D1051" s="12" t="s">
        <v>3305</v>
      </c>
      <c r="E1051" s="12" t="s">
        <v>3306</v>
      </c>
      <c r="F1051" s="12" t="s">
        <v>3307</v>
      </c>
      <c r="G1051" s="13" t="s">
        <v>16</v>
      </c>
      <c r="H1051" s="83"/>
      <c r="I1051" s="47">
        <v>127.92</v>
      </c>
      <c r="J1051" s="16" t="s">
        <v>3255</v>
      </c>
    </row>
    <row r="1052" ht="30" spans="1:10">
      <c r="A1052" s="10">
        <v>1050</v>
      </c>
      <c r="B1052" s="10" t="s">
        <v>11</v>
      </c>
      <c r="C1052" s="96" t="s">
        <v>3308</v>
      </c>
      <c r="D1052" s="12" t="s">
        <v>3309</v>
      </c>
      <c r="E1052" s="14"/>
      <c r="F1052" s="14"/>
      <c r="G1052" s="13" t="s">
        <v>16</v>
      </c>
      <c r="H1052" s="83"/>
      <c r="I1052" s="47">
        <v>127.92</v>
      </c>
      <c r="J1052" s="16" t="s">
        <v>3255</v>
      </c>
    </row>
    <row r="1053" ht="42.75" spans="1:10">
      <c r="A1053" s="10">
        <v>1051</v>
      </c>
      <c r="B1053" s="10" t="s">
        <v>177</v>
      </c>
      <c r="C1053" s="96" t="s">
        <v>3310</v>
      </c>
      <c r="D1053" s="12" t="s">
        <v>3311</v>
      </c>
      <c r="E1053" s="12" t="s">
        <v>3312</v>
      </c>
      <c r="F1053" s="12" t="s">
        <v>3313</v>
      </c>
      <c r="G1053" s="13" t="s">
        <v>16</v>
      </c>
      <c r="H1053" s="83"/>
      <c r="I1053" s="47">
        <v>960</v>
      </c>
      <c r="J1053" s="16" t="s">
        <v>3255</v>
      </c>
    </row>
    <row r="1054" ht="57" spans="1:10">
      <c r="A1054" s="10">
        <v>1052</v>
      </c>
      <c r="B1054" s="10" t="s">
        <v>177</v>
      </c>
      <c r="C1054" s="96" t="s">
        <v>3314</v>
      </c>
      <c r="D1054" s="12" t="s">
        <v>3315</v>
      </c>
      <c r="E1054" s="12" t="s">
        <v>3316</v>
      </c>
      <c r="F1054" s="12" t="s">
        <v>3317</v>
      </c>
      <c r="G1054" s="13" t="s">
        <v>16</v>
      </c>
      <c r="H1054" s="83"/>
      <c r="I1054" s="47">
        <v>1200</v>
      </c>
      <c r="J1054" s="16" t="s">
        <v>3255</v>
      </c>
    </row>
    <row r="1055" ht="123" spans="1:10">
      <c r="A1055" s="10">
        <v>1053</v>
      </c>
      <c r="B1055" s="10" t="s">
        <v>177</v>
      </c>
      <c r="C1055" s="96" t="s">
        <v>3318</v>
      </c>
      <c r="D1055" s="12" t="s">
        <v>3319</v>
      </c>
      <c r="E1055" s="12" t="s">
        <v>3320</v>
      </c>
      <c r="F1055" s="12" t="s">
        <v>3321</v>
      </c>
      <c r="G1055" s="13" t="s">
        <v>16</v>
      </c>
      <c r="H1055" s="83" t="s">
        <v>3322</v>
      </c>
      <c r="I1055" s="47">
        <v>270.6</v>
      </c>
      <c r="J1055" s="16" t="s">
        <v>3255</v>
      </c>
    </row>
    <row r="1056" ht="44.25" spans="1:10">
      <c r="A1056" s="10">
        <v>1054</v>
      </c>
      <c r="B1056" s="10" t="s">
        <v>177</v>
      </c>
      <c r="C1056" s="96" t="s">
        <v>3323</v>
      </c>
      <c r="D1056" s="12" t="s">
        <v>3324</v>
      </c>
      <c r="E1056" s="14"/>
      <c r="F1056" s="14"/>
      <c r="G1056" s="13" t="s">
        <v>16</v>
      </c>
      <c r="H1056" s="83"/>
      <c r="I1056" s="47">
        <v>918</v>
      </c>
      <c r="J1056" s="16" t="s">
        <v>3255</v>
      </c>
    </row>
    <row r="1057" ht="44.25" spans="1:10">
      <c r="A1057" s="10">
        <v>1055</v>
      </c>
      <c r="B1057" s="10" t="s">
        <v>177</v>
      </c>
      <c r="C1057" s="96" t="s">
        <v>3325</v>
      </c>
      <c r="D1057" s="12" t="s">
        <v>3326</v>
      </c>
      <c r="E1057" s="14"/>
      <c r="F1057" s="14"/>
      <c r="G1057" s="13" t="s">
        <v>16</v>
      </c>
      <c r="H1057" s="83"/>
      <c r="I1057" s="47">
        <v>1886</v>
      </c>
      <c r="J1057" s="16" t="s">
        <v>3255</v>
      </c>
    </row>
    <row r="1058" ht="44.25" spans="1:10">
      <c r="A1058" s="10">
        <v>1056</v>
      </c>
      <c r="B1058" s="10" t="s">
        <v>177</v>
      </c>
      <c r="C1058" s="96" t="s">
        <v>3327</v>
      </c>
      <c r="D1058" s="12" t="s">
        <v>3328</v>
      </c>
      <c r="E1058" s="14"/>
      <c r="F1058" s="14"/>
      <c r="G1058" s="13" t="s">
        <v>16</v>
      </c>
      <c r="H1058" s="83"/>
      <c r="I1058" s="47">
        <v>188</v>
      </c>
      <c r="J1058" s="16" t="s">
        <v>3255</v>
      </c>
    </row>
    <row r="1059" ht="44.25" spans="1:10">
      <c r="A1059" s="10">
        <v>1057</v>
      </c>
      <c r="B1059" s="10" t="s">
        <v>177</v>
      </c>
      <c r="C1059" s="96" t="s">
        <v>3329</v>
      </c>
      <c r="D1059" s="12" t="s">
        <v>3330</v>
      </c>
      <c r="E1059" s="14"/>
      <c r="F1059" s="14"/>
      <c r="G1059" s="13" t="s">
        <v>16</v>
      </c>
      <c r="H1059" s="83"/>
      <c r="I1059" s="47">
        <v>1558</v>
      </c>
      <c r="J1059" s="16" t="s">
        <v>3255</v>
      </c>
    </row>
    <row r="1060" ht="44.25" spans="1:10">
      <c r="A1060" s="10">
        <v>1058</v>
      </c>
      <c r="B1060" s="10" t="s">
        <v>177</v>
      </c>
      <c r="C1060" s="96" t="s">
        <v>3331</v>
      </c>
      <c r="D1060" s="12" t="s">
        <v>3332</v>
      </c>
      <c r="E1060" s="14"/>
      <c r="F1060" s="14"/>
      <c r="G1060" s="13" t="s">
        <v>16</v>
      </c>
      <c r="H1060" s="83"/>
      <c r="I1060" s="47">
        <v>88</v>
      </c>
      <c r="J1060" s="16" t="s">
        <v>3255</v>
      </c>
    </row>
    <row r="1061" ht="77.25" spans="1:10">
      <c r="A1061" s="10">
        <v>1059</v>
      </c>
      <c r="B1061" s="10" t="s">
        <v>177</v>
      </c>
      <c r="C1061" s="96" t="s">
        <v>3333</v>
      </c>
      <c r="D1061" s="12" t="s">
        <v>3334</v>
      </c>
      <c r="E1061" s="12" t="s">
        <v>3335</v>
      </c>
      <c r="F1061" s="12" t="s">
        <v>3321</v>
      </c>
      <c r="G1061" s="13" t="s">
        <v>16</v>
      </c>
      <c r="H1061" s="83" t="s">
        <v>3336</v>
      </c>
      <c r="I1061" s="47">
        <v>359.933705597142</v>
      </c>
      <c r="J1061" s="16" t="s">
        <v>3255</v>
      </c>
    </row>
    <row r="1062" ht="44.25" spans="1:10">
      <c r="A1062" s="10">
        <v>1060</v>
      </c>
      <c r="B1062" s="10" t="s">
        <v>177</v>
      </c>
      <c r="C1062" s="96" t="s">
        <v>3337</v>
      </c>
      <c r="D1062" s="12" t="s">
        <v>3338</v>
      </c>
      <c r="E1062" s="14"/>
      <c r="F1062" s="14"/>
      <c r="G1062" s="13" t="s">
        <v>16</v>
      </c>
      <c r="H1062" s="83"/>
      <c r="I1062" s="47">
        <v>1008</v>
      </c>
      <c r="J1062" s="16" t="s">
        <v>3255</v>
      </c>
    </row>
    <row r="1063" ht="44.25" spans="1:10">
      <c r="A1063" s="10">
        <v>1061</v>
      </c>
      <c r="B1063" s="10" t="s">
        <v>177</v>
      </c>
      <c r="C1063" s="96" t="s">
        <v>3339</v>
      </c>
      <c r="D1063" s="12" t="s">
        <v>3340</v>
      </c>
      <c r="E1063" s="14"/>
      <c r="F1063" s="14"/>
      <c r="G1063" s="13" t="s">
        <v>16</v>
      </c>
      <c r="H1063" s="83"/>
      <c r="I1063" s="47">
        <v>2070</v>
      </c>
      <c r="J1063" s="16" t="s">
        <v>3255</v>
      </c>
    </row>
    <row r="1064" ht="44.25" spans="1:10">
      <c r="A1064" s="10">
        <v>1062</v>
      </c>
      <c r="B1064" s="10" t="s">
        <v>177</v>
      </c>
      <c r="C1064" s="96" t="s">
        <v>3341</v>
      </c>
      <c r="D1064" s="12" t="s">
        <v>3342</v>
      </c>
      <c r="E1064" s="14"/>
      <c r="F1064" s="14"/>
      <c r="G1064" s="13" t="s">
        <v>16</v>
      </c>
      <c r="H1064" s="83"/>
      <c r="I1064" s="47">
        <v>96</v>
      </c>
      <c r="J1064" s="16" t="s">
        <v>3255</v>
      </c>
    </row>
    <row r="1065" ht="44.25" spans="1:10">
      <c r="A1065" s="10">
        <v>1063</v>
      </c>
      <c r="B1065" s="10" t="s">
        <v>177</v>
      </c>
      <c r="C1065" s="96" t="s">
        <v>3343</v>
      </c>
      <c r="D1065" s="12" t="s">
        <v>3344</v>
      </c>
      <c r="E1065" s="12" t="s">
        <v>3345</v>
      </c>
      <c r="F1065" s="12" t="s">
        <v>3321</v>
      </c>
      <c r="G1065" s="13" t="s">
        <v>16</v>
      </c>
      <c r="H1065" s="82" t="s">
        <v>3346</v>
      </c>
      <c r="I1065" s="47">
        <v>623.2</v>
      </c>
      <c r="J1065" s="16" t="s">
        <v>3255</v>
      </c>
    </row>
    <row r="1066" ht="44.25" spans="1:10">
      <c r="A1066" s="10">
        <v>1064</v>
      </c>
      <c r="B1066" s="10" t="s">
        <v>177</v>
      </c>
      <c r="C1066" s="96" t="s">
        <v>3347</v>
      </c>
      <c r="D1066" s="12" t="s">
        <v>3348</v>
      </c>
      <c r="E1066" s="14"/>
      <c r="F1066" s="14"/>
      <c r="G1066" s="13" t="s">
        <v>16</v>
      </c>
      <c r="H1066" s="83"/>
      <c r="I1066" s="47">
        <v>187</v>
      </c>
      <c r="J1066" s="16" t="s">
        <v>3255</v>
      </c>
    </row>
    <row r="1067" ht="44.25" spans="1:10">
      <c r="A1067" s="10">
        <v>1065</v>
      </c>
      <c r="B1067" s="10" t="s">
        <v>177</v>
      </c>
      <c r="C1067" s="96" t="s">
        <v>3349</v>
      </c>
      <c r="D1067" s="12" t="s">
        <v>3350</v>
      </c>
      <c r="E1067" s="12" t="s">
        <v>3345</v>
      </c>
      <c r="F1067" s="12" t="s">
        <v>3321</v>
      </c>
      <c r="G1067" s="13" t="s">
        <v>16</v>
      </c>
      <c r="H1067" s="82" t="s">
        <v>3346</v>
      </c>
      <c r="I1067" s="47">
        <v>600</v>
      </c>
      <c r="J1067" s="16" t="s">
        <v>3255</v>
      </c>
    </row>
    <row r="1068" ht="168.75" spans="1:10">
      <c r="A1068" s="10">
        <v>1066</v>
      </c>
      <c r="B1068" s="10" t="s">
        <v>177</v>
      </c>
      <c r="C1068" s="96" t="s">
        <v>3351</v>
      </c>
      <c r="D1068" s="12" t="s">
        <v>3352</v>
      </c>
      <c r="E1068" s="12" t="s">
        <v>3353</v>
      </c>
      <c r="F1068" s="12" t="s">
        <v>3354</v>
      </c>
      <c r="G1068" s="13" t="s">
        <v>16</v>
      </c>
      <c r="H1068" s="83" t="s">
        <v>3355</v>
      </c>
      <c r="I1068" s="47">
        <v>1600</v>
      </c>
      <c r="J1068" s="16" t="s">
        <v>3255</v>
      </c>
    </row>
    <row r="1069" ht="57" spans="1:10">
      <c r="A1069" s="10">
        <v>1067</v>
      </c>
      <c r="B1069" s="10" t="s">
        <v>177</v>
      </c>
      <c r="C1069" s="96" t="s">
        <v>3356</v>
      </c>
      <c r="D1069" s="12" t="s">
        <v>3357</v>
      </c>
      <c r="E1069" s="12" t="s">
        <v>3358</v>
      </c>
      <c r="F1069" s="12" t="s">
        <v>3354</v>
      </c>
      <c r="G1069" s="13" t="s">
        <v>16</v>
      </c>
      <c r="H1069" s="82" t="s">
        <v>3346</v>
      </c>
      <c r="I1069" s="47">
        <v>2000</v>
      </c>
      <c r="J1069" s="16" t="s">
        <v>3255</v>
      </c>
    </row>
    <row r="1070" ht="71.25" spans="1:10">
      <c r="A1070" s="10">
        <v>1068</v>
      </c>
      <c r="B1070" s="10" t="s">
        <v>177</v>
      </c>
      <c r="C1070" s="96" t="s">
        <v>3359</v>
      </c>
      <c r="D1070" s="12" t="s">
        <v>3360</v>
      </c>
      <c r="E1070" s="12" t="s">
        <v>3361</v>
      </c>
      <c r="F1070" s="12" t="s">
        <v>3362</v>
      </c>
      <c r="G1070" s="13" t="s">
        <v>16</v>
      </c>
      <c r="H1070" s="85"/>
      <c r="I1070" s="47">
        <v>316.52</v>
      </c>
      <c r="J1070" s="16" t="s">
        <v>3255</v>
      </c>
    </row>
    <row r="1071" ht="57" spans="1:10">
      <c r="A1071" s="10">
        <v>1069</v>
      </c>
      <c r="B1071" s="10" t="s">
        <v>177</v>
      </c>
      <c r="C1071" s="96" t="s">
        <v>3363</v>
      </c>
      <c r="D1071" s="12" t="s">
        <v>3364</v>
      </c>
      <c r="E1071" s="12" t="s">
        <v>3365</v>
      </c>
      <c r="F1071" s="12" t="s">
        <v>3366</v>
      </c>
      <c r="G1071" s="13" t="s">
        <v>16</v>
      </c>
      <c r="H1071" s="85"/>
      <c r="I1071" s="47">
        <v>241.08</v>
      </c>
      <c r="J1071" s="16" t="s">
        <v>3255</v>
      </c>
    </row>
    <row r="1072" ht="58.5" spans="1:10">
      <c r="A1072" s="10">
        <v>1070</v>
      </c>
      <c r="B1072" s="10" t="s">
        <v>11</v>
      </c>
      <c r="C1072" s="96" t="s">
        <v>3367</v>
      </c>
      <c r="D1072" s="12" t="s">
        <v>3368</v>
      </c>
      <c r="E1072" s="12" t="s">
        <v>3369</v>
      </c>
      <c r="F1072" s="12" t="s">
        <v>3370</v>
      </c>
      <c r="G1072" s="13" t="s">
        <v>16</v>
      </c>
      <c r="H1072" s="83"/>
      <c r="I1072" s="47">
        <v>693.72</v>
      </c>
      <c r="J1072" s="16" t="s">
        <v>3255</v>
      </c>
    </row>
    <row r="1073" ht="60" spans="1:10">
      <c r="A1073" s="10">
        <v>1071</v>
      </c>
      <c r="B1073" s="10" t="s">
        <v>11</v>
      </c>
      <c r="C1073" s="96" t="s">
        <v>3371</v>
      </c>
      <c r="D1073" s="12" t="s">
        <v>3372</v>
      </c>
      <c r="E1073" s="14"/>
      <c r="F1073" s="14"/>
      <c r="G1073" s="13" t="s">
        <v>16</v>
      </c>
      <c r="H1073" s="83"/>
      <c r="I1073" s="47">
        <v>477</v>
      </c>
      <c r="J1073" s="16" t="s">
        <v>3255</v>
      </c>
    </row>
    <row r="1074" ht="58.5" spans="1:10">
      <c r="A1074" s="10">
        <v>1072</v>
      </c>
      <c r="B1074" s="10" t="s">
        <v>11</v>
      </c>
      <c r="C1074" s="96" t="s">
        <v>3373</v>
      </c>
      <c r="D1074" s="12" t="s">
        <v>3374</v>
      </c>
      <c r="E1074" s="12" t="s">
        <v>3375</v>
      </c>
      <c r="F1074" s="12" t="s">
        <v>3370</v>
      </c>
      <c r="G1074" s="13" t="s">
        <v>16</v>
      </c>
      <c r="H1074" s="83"/>
      <c r="I1074" s="47">
        <v>641</v>
      </c>
      <c r="J1074" s="16" t="s">
        <v>3255</v>
      </c>
    </row>
    <row r="1075" ht="60" spans="1:10">
      <c r="A1075" s="10">
        <v>1073</v>
      </c>
      <c r="B1075" s="10" t="s">
        <v>11</v>
      </c>
      <c r="C1075" s="96" t="s">
        <v>3376</v>
      </c>
      <c r="D1075" s="12" t="s">
        <v>3377</v>
      </c>
      <c r="E1075" s="14"/>
      <c r="F1075" s="14"/>
      <c r="G1075" s="13" t="s">
        <v>16</v>
      </c>
      <c r="H1075" s="83"/>
      <c r="I1075" s="47">
        <v>641</v>
      </c>
      <c r="J1075" s="16" t="s">
        <v>3255</v>
      </c>
    </row>
    <row r="1076" ht="57" spans="1:10">
      <c r="A1076" s="10">
        <v>1074</v>
      </c>
      <c r="B1076" s="10" t="s">
        <v>211</v>
      </c>
      <c r="C1076" s="96" t="s">
        <v>3378</v>
      </c>
      <c r="D1076" s="12" t="s">
        <v>3379</v>
      </c>
      <c r="E1076" s="12" t="s">
        <v>3380</v>
      </c>
      <c r="F1076" s="12" t="s">
        <v>3381</v>
      </c>
      <c r="G1076" s="13" t="s">
        <v>16</v>
      </c>
      <c r="H1076" s="83"/>
      <c r="I1076" s="47">
        <v>524</v>
      </c>
      <c r="J1076" s="16" t="s">
        <v>3255</v>
      </c>
    </row>
    <row r="1077" ht="30" spans="1:10">
      <c r="A1077" s="10">
        <v>1075</v>
      </c>
      <c r="B1077" s="10" t="s">
        <v>211</v>
      </c>
      <c r="C1077" s="96" t="s">
        <v>3382</v>
      </c>
      <c r="D1077" s="12" t="s">
        <v>3383</v>
      </c>
      <c r="E1077" s="14"/>
      <c r="F1077" s="14"/>
      <c r="G1077" s="13" t="s">
        <v>16</v>
      </c>
      <c r="H1077" s="83"/>
      <c r="I1077" s="51">
        <f>I1076*0.3</f>
        <v>157.2</v>
      </c>
      <c r="J1077" s="16" t="s">
        <v>3255</v>
      </c>
    </row>
    <row r="1078" ht="30" spans="1:10">
      <c r="A1078" s="10">
        <v>1076</v>
      </c>
      <c r="B1078" s="10" t="s">
        <v>211</v>
      </c>
      <c r="C1078" s="96" t="s">
        <v>3384</v>
      </c>
      <c r="D1078" s="12" t="s">
        <v>3385</v>
      </c>
      <c r="E1078" s="14"/>
      <c r="F1078" s="14"/>
      <c r="G1078" s="13" t="s">
        <v>16</v>
      </c>
      <c r="H1078" s="83"/>
      <c r="I1078" s="15">
        <v>262</v>
      </c>
      <c r="J1078" s="16" t="s">
        <v>3255</v>
      </c>
    </row>
    <row r="1079" ht="30" spans="1:10">
      <c r="A1079" s="10">
        <v>1077</v>
      </c>
      <c r="B1079" s="10" t="s">
        <v>211</v>
      </c>
      <c r="C1079" s="96" t="s">
        <v>3386</v>
      </c>
      <c r="D1079" s="12" t="s">
        <v>3387</v>
      </c>
      <c r="E1079" s="14"/>
      <c r="F1079" s="14"/>
      <c r="G1079" s="13" t="s">
        <v>16</v>
      </c>
      <c r="H1079" s="83"/>
      <c r="I1079" s="15">
        <v>524</v>
      </c>
      <c r="J1079" s="16" t="s">
        <v>3255</v>
      </c>
    </row>
    <row r="1080" ht="57" spans="1:10">
      <c r="A1080" s="10">
        <v>1078</v>
      </c>
      <c r="B1080" s="10" t="s">
        <v>211</v>
      </c>
      <c r="C1080" s="96" t="s">
        <v>3388</v>
      </c>
      <c r="D1080" s="12" t="s">
        <v>3389</v>
      </c>
      <c r="E1080" s="12" t="s">
        <v>3390</v>
      </c>
      <c r="F1080" s="12" t="s">
        <v>3381</v>
      </c>
      <c r="G1080" s="13" t="s">
        <v>16</v>
      </c>
      <c r="H1080" s="83"/>
      <c r="I1080" s="47">
        <v>1412.86</v>
      </c>
      <c r="J1080" s="16" t="s">
        <v>3255</v>
      </c>
    </row>
    <row r="1081" ht="30" spans="1:10">
      <c r="A1081" s="10">
        <v>1079</v>
      </c>
      <c r="B1081" s="10" t="s">
        <v>211</v>
      </c>
      <c r="C1081" s="96" t="s">
        <v>3391</v>
      </c>
      <c r="D1081" s="12" t="s">
        <v>3392</v>
      </c>
      <c r="E1081" s="14"/>
      <c r="F1081" s="14"/>
      <c r="G1081" s="13" t="s">
        <v>16</v>
      </c>
      <c r="H1081" s="83"/>
      <c r="I1081" s="51">
        <f>1413*0.3</f>
        <v>423.9</v>
      </c>
      <c r="J1081" s="16" t="s">
        <v>3255</v>
      </c>
    </row>
    <row r="1082" ht="30" spans="1:10">
      <c r="A1082" s="10">
        <v>1080</v>
      </c>
      <c r="B1082" s="10" t="s">
        <v>211</v>
      </c>
      <c r="C1082" s="96" t="s">
        <v>3393</v>
      </c>
      <c r="D1082" s="12" t="s">
        <v>3394</v>
      </c>
      <c r="E1082" s="14"/>
      <c r="F1082" s="14"/>
      <c r="G1082" s="13" t="s">
        <v>16</v>
      </c>
      <c r="H1082" s="83"/>
      <c r="I1082" s="47">
        <v>215</v>
      </c>
      <c r="J1082" s="16" t="s">
        <v>3255</v>
      </c>
    </row>
    <row r="1083" ht="30" spans="1:10">
      <c r="A1083" s="10">
        <v>1081</v>
      </c>
      <c r="B1083" s="10" t="s">
        <v>211</v>
      </c>
      <c r="C1083" s="96" t="s">
        <v>3395</v>
      </c>
      <c r="D1083" s="12" t="s">
        <v>3396</v>
      </c>
      <c r="E1083" s="14"/>
      <c r="F1083" s="14"/>
      <c r="G1083" s="13" t="s">
        <v>16</v>
      </c>
      <c r="H1083" s="83"/>
      <c r="I1083" s="47">
        <v>1412.86</v>
      </c>
      <c r="J1083" s="16" t="s">
        <v>3255</v>
      </c>
    </row>
    <row r="1084" ht="61.5" spans="1:10">
      <c r="A1084" s="10">
        <v>1082</v>
      </c>
      <c r="B1084" s="10" t="s">
        <v>11</v>
      </c>
      <c r="C1084" s="96" t="s">
        <v>3397</v>
      </c>
      <c r="D1084" s="12" t="s">
        <v>3398</v>
      </c>
      <c r="E1084" s="12" t="s">
        <v>3399</v>
      </c>
      <c r="F1084" s="12" t="s">
        <v>3400</v>
      </c>
      <c r="G1084" s="13" t="s">
        <v>16</v>
      </c>
      <c r="H1084" s="83" t="s">
        <v>3401</v>
      </c>
      <c r="I1084" s="47">
        <v>470.68</v>
      </c>
      <c r="J1084" s="16" t="s">
        <v>3255</v>
      </c>
    </row>
    <row r="1085" ht="93" spans="1:10">
      <c r="A1085" s="10">
        <v>1083</v>
      </c>
      <c r="B1085" s="10" t="s">
        <v>11</v>
      </c>
      <c r="C1085" s="96" t="s">
        <v>3402</v>
      </c>
      <c r="D1085" s="12" t="s">
        <v>3403</v>
      </c>
      <c r="E1085" s="12" t="s">
        <v>3404</v>
      </c>
      <c r="F1085" s="12" t="s">
        <v>3405</v>
      </c>
      <c r="G1085" s="13" t="s">
        <v>16</v>
      </c>
      <c r="H1085" s="83" t="s">
        <v>3406</v>
      </c>
      <c r="I1085" s="47">
        <v>1463.7</v>
      </c>
      <c r="J1085" s="16" t="s">
        <v>3255</v>
      </c>
    </row>
    <row r="1086" ht="140.25" spans="1:10">
      <c r="A1086" s="10">
        <v>1084</v>
      </c>
      <c r="B1086" s="10" t="s">
        <v>11</v>
      </c>
      <c r="C1086" s="96" t="s">
        <v>3407</v>
      </c>
      <c r="D1086" s="12" t="s">
        <v>3408</v>
      </c>
      <c r="E1086" s="12" t="s">
        <v>3409</v>
      </c>
      <c r="F1086" s="12" t="s">
        <v>3410</v>
      </c>
      <c r="G1086" s="13" t="s">
        <v>16</v>
      </c>
      <c r="H1086" s="83" t="s">
        <v>3411</v>
      </c>
      <c r="I1086" s="47">
        <v>406.72</v>
      </c>
      <c r="J1086" s="16" t="s">
        <v>3255</v>
      </c>
    </row>
    <row r="1087" ht="234.75" spans="1:10">
      <c r="A1087" s="10">
        <v>1085</v>
      </c>
      <c r="B1087" s="10" t="s">
        <v>11</v>
      </c>
      <c r="C1087" s="10" t="s">
        <v>3412</v>
      </c>
      <c r="D1087" s="12" t="s">
        <v>3413</v>
      </c>
      <c r="E1087" s="12" t="s">
        <v>3414</v>
      </c>
      <c r="F1087" s="12" t="s">
        <v>3415</v>
      </c>
      <c r="G1087" s="13" t="s">
        <v>16</v>
      </c>
      <c r="H1087" s="83" t="s">
        <v>3416</v>
      </c>
      <c r="I1087" s="47">
        <v>614</v>
      </c>
      <c r="J1087" s="16" t="s">
        <v>3255</v>
      </c>
    </row>
    <row r="1088" ht="44.25" spans="1:10">
      <c r="A1088" s="10">
        <v>1086</v>
      </c>
      <c r="B1088" s="10" t="s">
        <v>211</v>
      </c>
      <c r="C1088" s="96" t="s">
        <v>3417</v>
      </c>
      <c r="D1088" s="12" t="s">
        <v>3418</v>
      </c>
      <c r="E1088" s="12" t="s">
        <v>3419</v>
      </c>
      <c r="F1088" s="12" t="s">
        <v>3420</v>
      </c>
      <c r="G1088" s="13" t="s">
        <v>16</v>
      </c>
      <c r="H1088" s="82" t="s">
        <v>3421</v>
      </c>
      <c r="I1088" s="47">
        <v>2445</v>
      </c>
      <c r="J1088" s="16" t="s">
        <v>3255</v>
      </c>
    </row>
    <row r="1089" ht="30" spans="1:10">
      <c r="A1089" s="10">
        <v>1087</v>
      </c>
      <c r="B1089" s="10" t="s">
        <v>211</v>
      </c>
      <c r="C1089" s="96" t="s">
        <v>3422</v>
      </c>
      <c r="D1089" s="12" t="s">
        <v>3423</v>
      </c>
      <c r="E1089" s="14"/>
      <c r="F1089" s="14"/>
      <c r="G1089" s="13" t="s">
        <v>16</v>
      </c>
      <c r="H1089" s="83"/>
      <c r="I1089" s="51">
        <f>I1088*0.3</f>
        <v>733.5</v>
      </c>
      <c r="J1089" s="16" t="s">
        <v>3255</v>
      </c>
    </row>
    <row r="1090" ht="71.25" spans="1:10">
      <c r="A1090" s="10">
        <v>1088</v>
      </c>
      <c r="B1090" s="10" t="s">
        <v>211</v>
      </c>
      <c r="C1090" s="96" t="s">
        <v>3424</v>
      </c>
      <c r="D1090" s="12" t="s">
        <v>3425</v>
      </c>
      <c r="E1090" s="12" t="s">
        <v>3426</v>
      </c>
      <c r="F1090" s="12" t="s">
        <v>3427</v>
      </c>
      <c r="G1090" s="13" t="s">
        <v>3428</v>
      </c>
      <c r="H1090" s="83" t="s">
        <v>3429</v>
      </c>
      <c r="I1090" s="15">
        <v>589</v>
      </c>
      <c r="J1090" s="16" t="s">
        <v>3255</v>
      </c>
    </row>
    <row r="1091" ht="30" spans="1:10">
      <c r="A1091" s="10">
        <v>1089</v>
      </c>
      <c r="B1091" s="10" t="s">
        <v>211</v>
      </c>
      <c r="C1091" s="96" t="s">
        <v>3430</v>
      </c>
      <c r="D1091" s="12" t="s">
        <v>3431</v>
      </c>
      <c r="E1091" s="14"/>
      <c r="F1091" s="14"/>
      <c r="G1091" s="13" t="s">
        <v>3428</v>
      </c>
      <c r="H1091" s="83"/>
      <c r="I1091" s="51">
        <f>I1090*0.3</f>
        <v>176.7</v>
      </c>
      <c r="J1091" s="16" t="s">
        <v>3255</v>
      </c>
    </row>
    <row r="1092" ht="42.75" spans="1:10">
      <c r="A1092" s="10">
        <v>1090</v>
      </c>
      <c r="B1092" s="10" t="s">
        <v>211</v>
      </c>
      <c r="C1092" s="96" t="s">
        <v>3432</v>
      </c>
      <c r="D1092" s="12" t="s">
        <v>3433</v>
      </c>
      <c r="E1092" s="12" t="s">
        <v>3434</v>
      </c>
      <c r="F1092" s="12" t="s">
        <v>3435</v>
      </c>
      <c r="G1092" s="13" t="s">
        <v>3428</v>
      </c>
      <c r="H1092" s="82" t="s">
        <v>3436</v>
      </c>
      <c r="I1092" s="15">
        <v>1720.38936525292</v>
      </c>
      <c r="J1092" s="16" t="s">
        <v>3255</v>
      </c>
    </row>
    <row r="1093" ht="30" spans="1:10">
      <c r="A1093" s="10">
        <v>1091</v>
      </c>
      <c r="B1093" s="10" t="s">
        <v>211</v>
      </c>
      <c r="C1093" s="96" t="s">
        <v>3437</v>
      </c>
      <c r="D1093" s="12" t="s">
        <v>3438</v>
      </c>
      <c r="E1093" s="14"/>
      <c r="F1093" s="14"/>
      <c r="G1093" s="13" t="s">
        <v>3428</v>
      </c>
      <c r="H1093" s="83"/>
      <c r="I1093" s="51">
        <f>1720*0.3</f>
        <v>516</v>
      </c>
      <c r="J1093" s="16" t="s">
        <v>3255</v>
      </c>
    </row>
    <row r="1094" ht="44.25" spans="1:10">
      <c r="A1094" s="10">
        <v>1092</v>
      </c>
      <c r="B1094" s="10" t="s">
        <v>211</v>
      </c>
      <c r="C1094" s="96" t="s">
        <v>3439</v>
      </c>
      <c r="D1094" s="12" t="s">
        <v>3440</v>
      </c>
      <c r="E1094" s="14"/>
      <c r="F1094" s="14"/>
      <c r="G1094" s="13" t="s">
        <v>3428</v>
      </c>
      <c r="H1094" s="83"/>
      <c r="I1094" s="15">
        <v>900</v>
      </c>
      <c r="J1094" s="16" t="s">
        <v>3255</v>
      </c>
    </row>
    <row r="1095" ht="42.75" spans="1:10">
      <c r="A1095" s="10">
        <v>1093</v>
      </c>
      <c r="B1095" s="10" t="s">
        <v>211</v>
      </c>
      <c r="C1095" s="96" t="s">
        <v>3441</v>
      </c>
      <c r="D1095" s="12" t="s">
        <v>3442</v>
      </c>
      <c r="E1095" s="12" t="s">
        <v>3443</v>
      </c>
      <c r="F1095" s="12" t="s">
        <v>3444</v>
      </c>
      <c r="G1095" s="13" t="s">
        <v>16</v>
      </c>
      <c r="H1095" s="83"/>
      <c r="I1095" s="15">
        <v>1311</v>
      </c>
      <c r="J1095" s="16" t="s">
        <v>3255</v>
      </c>
    </row>
    <row r="1096" ht="30" spans="1:10">
      <c r="A1096" s="10">
        <v>1094</v>
      </c>
      <c r="B1096" s="10" t="s">
        <v>211</v>
      </c>
      <c r="C1096" s="96" t="s">
        <v>3445</v>
      </c>
      <c r="D1096" s="12" t="s">
        <v>3446</v>
      </c>
      <c r="E1096" s="14"/>
      <c r="F1096" s="14"/>
      <c r="G1096" s="13" t="s">
        <v>16</v>
      </c>
      <c r="H1096" s="83"/>
      <c r="I1096" s="51">
        <f>I1095*0.3</f>
        <v>393.3</v>
      </c>
      <c r="J1096" s="16" t="s">
        <v>3255</v>
      </c>
    </row>
    <row r="1097" ht="42.75" spans="1:10">
      <c r="A1097" s="10">
        <v>1095</v>
      </c>
      <c r="B1097" s="10" t="s">
        <v>211</v>
      </c>
      <c r="C1097" s="96" t="s">
        <v>3447</v>
      </c>
      <c r="D1097" s="12" t="s">
        <v>3448</v>
      </c>
      <c r="E1097" s="12" t="s">
        <v>3449</v>
      </c>
      <c r="F1097" s="12" t="s">
        <v>3450</v>
      </c>
      <c r="G1097" s="13" t="s">
        <v>790</v>
      </c>
      <c r="H1097" s="82" t="s">
        <v>3451</v>
      </c>
      <c r="I1097" s="47">
        <v>406.72</v>
      </c>
      <c r="J1097" s="16" t="s">
        <v>3255</v>
      </c>
    </row>
    <row r="1098" ht="30" spans="1:10">
      <c r="A1098" s="10">
        <v>1096</v>
      </c>
      <c r="B1098" s="10" t="s">
        <v>211</v>
      </c>
      <c r="C1098" s="96" t="s">
        <v>3452</v>
      </c>
      <c r="D1098" s="12" t="s">
        <v>3453</v>
      </c>
      <c r="E1098" s="14"/>
      <c r="F1098" s="14"/>
      <c r="G1098" s="13" t="s">
        <v>790</v>
      </c>
      <c r="H1098" s="83"/>
      <c r="I1098" s="51">
        <f>407*0.3</f>
        <v>122.1</v>
      </c>
      <c r="J1098" s="16" t="s">
        <v>3255</v>
      </c>
    </row>
    <row r="1099" ht="31.5" spans="1:10">
      <c r="A1099" s="10">
        <v>1097</v>
      </c>
      <c r="B1099" s="10" t="s">
        <v>211</v>
      </c>
      <c r="C1099" s="96" t="s">
        <v>3454</v>
      </c>
      <c r="D1099" s="12" t="s">
        <v>3455</v>
      </c>
      <c r="E1099" s="14"/>
      <c r="F1099" s="14"/>
      <c r="G1099" s="13" t="s">
        <v>790</v>
      </c>
      <c r="H1099" s="83"/>
      <c r="I1099" s="47">
        <v>203</v>
      </c>
      <c r="J1099" s="16" t="s">
        <v>3255</v>
      </c>
    </row>
    <row r="1100" ht="42.75" spans="1:10">
      <c r="A1100" s="10">
        <v>1098</v>
      </c>
      <c r="B1100" s="10" t="s">
        <v>211</v>
      </c>
      <c r="C1100" s="96" t="s">
        <v>3456</v>
      </c>
      <c r="D1100" s="12" t="s">
        <v>3457</v>
      </c>
      <c r="E1100" s="12" t="s">
        <v>3458</v>
      </c>
      <c r="F1100" s="12" t="s">
        <v>3459</v>
      </c>
      <c r="G1100" s="13" t="s">
        <v>790</v>
      </c>
      <c r="H1100" s="82" t="s">
        <v>3451</v>
      </c>
      <c r="I1100" s="47">
        <v>760</v>
      </c>
      <c r="J1100" s="16" t="s">
        <v>3255</v>
      </c>
    </row>
    <row r="1101" ht="30" spans="1:10">
      <c r="A1101" s="10">
        <v>1099</v>
      </c>
      <c r="B1101" s="10" t="s">
        <v>211</v>
      </c>
      <c r="C1101" s="96" t="s">
        <v>3460</v>
      </c>
      <c r="D1101" s="12" t="s">
        <v>3461</v>
      </c>
      <c r="E1101" s="14"/>
      <c r="F1101" s="14"/>
      <c r="G1101" s="13" t="s">
        <v>790</v>
      </c>
      <c r="H1101" s="83"/>
      <c r="I1101" s="51">
        <f>I1100*0.3</f>
        <v>228</v>
      </c>
      <c r="J1101" s="16" t="s">
        <v>3255</v>
      </c>
    </row>
    <row r="1102" ht="30" spans="1:10">
      <c r="A1102" s="10">
        <v>1100</v>
      </c>
      <c r="B1102" s="10" t="s">
        <v>211</v>
      </c>
      <c r="C1102" s="96" t="s">
        <v>3462</v>
      </c>
      <c r="D1102" s="12" t="s">
        <v>3463</v>
      </c>
      <c r="E1102" s="14"/>
      <c r="F1102" s="14"/>
      <c r="G1102" s="13" t="s">
        <v>790</v>
      </c>
      <c r="H1102" s="83"/>
      <c r="I1102" s="47">
        <v>171</v>
      </c>
      <c r="J1102" s="16" t="s">
        <v>3255</v>
      </c>
    </row>
    <row r="1103" ht="30" spans="1:10">
      <c r="A1103" s="10">
        <v>1101</v>
      </c>
      <c r="B1103" s="10" t="s">
        <v>211</v>
      </c>
      <c r="C1103" s="96" t="s">
        <v>3464</v>
      </c>
      <c r="D1103" s="12" t="s">
        <v>3465</v>
      </c>
      <c r="E1103" s="14"/>
      <c r="F1103" s="14"/>
      <c r="G1103" s="13" t="s">
        <v>790</v>
      </c>
      <c r="H1103" s="83"/>
      <c r="I1103" s="47">
        <v>340</v>
      </c>
      <c r="J1103" s="16" t="s">
        <v>3255</v>
      </c>
    </row>
    <row r="1104" ht="30" spans="1:10">
      <c r="A1104" s="10">
        <v>1102</v>
      </c>
      <c r="B1104" s="10" t="s">
        <v>211</v>
      </c>
      <c r="C1104" s="96" t="s">
        <v>3466</v>
      </c>
      <c r="D1104" s="12" t="s">
        <v>3467</v>
      </c>
      <c r="E1104" s="14"/>
      <c r="F1104" s="14"/>
      <c r="G1104" s="13" t="s">
        <v>790</v>
      </c>
      <c r="H1104" s="83"/>
      <c r="I1104" s="47">
        <v>171</v>
      </c>
      <c r="J1104" s="16" t="s">
        <v>3255</v>
      </c>
    </row>
    <row r="1105" ht="47.25" spans="1:10">
      <c r="A1105" s="10">
        <v>1103</v>
      </c>
      <c r="B1105" s="10" t="s">
        <v>211</v>
      </c>
      <c r="C1105" s="96" t="s">
        <v>3468</v>
      </c>
      <c r="D1105" s="12" t="s">
        <v>3469</v>
      </c>
      <c r="E1105" s="12" t="s">
        <v>3470</v>
      </c>
      <c r="F1105" s="12" t="s">
        <v>3471</v>
      </c>
      <c r="G1105" s="13" t="s">
        <v>790</v>
      </c>
      <c r="H1105" s="83" t="s">
        <v>3472</v>
      </c>
      <c r="I1105" s="47">
        <v>883.631578947368</v>
      </c>
      <c r="J1105" s="16" t="s">
        <v>3255</v>
      </c>
    </row>
    <row r="1106" ht="30" spans="1:10">
      <c r="A1106" s="10">
        <v>1104</v>
      </c>
      <c r="B1106" s="10" t="s">
        <v>211</v>
      </c>
      <c r="C1106" s="96" t="s">
        <v>3473</v>
      </c>
      <c r="D1106" s="12" t="s">
        <v>3474</v>
      </c>
      <c r="E1106" s="14"/>
      <c r="F1106" s="14"/>
      <c r="G1106" s="13" t="s">
        <v>790</v>
      </c>
      <c r="H1106" s="83"/>
      <c r="I1106" s="51">
        <f>884*0.3</f>
        <v>265.2</v>
      </c>
      <c r="J1106" s="16" t="s">
        <v>3255</v>
      </c>
    </row>
    <row r="1107" ht="30" spans="1:10">
      <c r="A1107" s="10">
        <v>1105</v>
      </c>
      <c r="B1107" s="10" t="s">
        <v>211</v>
      </c>
      <c r="C1107" s="96" t="s">
        <v>3475</v>
      </c>
      <c r="D1107" s="12" t="s">
        <v>3476</v>
      </c>
      <c r="E1107" s="14"/>
      <c r="F1107" s="14"/>
      <c r="G1107" s="13" t="s">
        <v>790</v>
      </c>
      <c r="H1107" s="83"/>
      <c r="I1107" s="47">
        <v>445</v>
      </c>
      <c r="J1107" s="16" t="s">
        <v>3255</v>
      </c>
    </row>
    <row r="1108" ht="30" spans="1:10">
      <c r="A1108" s="10">
        <v>1106</v>
      </c>
      <c r="B1108" s="10" t="s">
        <v>211</v>
      </c>
      <c r="C1108" s="96" t="s">
        <v>3477</v>
      </c>
      <c r="D1108" s="12" t="s">
        <v>3478</v>
      </c>
      <c r="E1108" s="14"/>
      <c r="F1108" s="14"/>
      <c r="G1108" s="13" t="s">
        <v>790</v>
      </c>
      <c r="H1108" s="83"/>
      <c r="I1108" s="47">
        <v>593</v>
      </c>
      <c r="J1108" s="16" t="s">
        <v>3255</v>
      </c>
    </row>
    <row r="1109" ht="30" spans="1:10">
      <c r="A1109" s="10">
        <v>1107</v>
      </c>
      <c r="B1109" s="10" t="s">
        <v>211</v>
      </c>
      <c r="C1109" s="96" t="s">
        <v>3479</v>
      </c>
      <c r="D1109" s="12" t="s">
        <v>3480</v>
      </c>
      <c r="E1109" s="14"/>
      <c r="F1109" s="14"/>
      <c r="G1109" s="13" t="s">
        <v>790</v>
      </c>
      <c r="H1109" s="83"/>
      <c r="I1109" s="47">
        <v>519</v>
      </c>
      <c r="J1109" s="16" t="s">
        <v>3255</v>
      </c>
    </row>
    <row r="1110" ht="42.75" spans="1:10">
      <c r="A1110" s="10">
        <v>1108</v>
      </c>
      <c r="B1110" s="10" t="s">
        <v>211</v>
      </c>
      <c r="C1110" s="96" t="s">
        <v>3481</v>
      </c>
      <c r="D1110" s="12" t="s">
        <v>3482</v>
      </c>
      <c r="E1110" s="12" t="s">
        <v>3483</v>
      </c>
      <c r="F1110" s="12" t="s">
        <v>3484</v>
      </c>
      <c r="G1110" s="13" t="s">
        <v>790</v>
      </c>
      <c r="H1110" s="82" t="s">
        <v>3451</v>
      </c>
      <c r="I1110" s="47">
        <v>593.68</v>
      </c>
      <c r="J1110" s="16" t="s">
        <v>3255</v>
      </c>
    </row>
    <row r="1111" ht="30" spans="1:10">
      <c r="A1111" s="10">
        <v>1109</v>
      </c>
      <c r="B1111" s="10" t="s">
        <v>211</v>
      </c>
      <c r="C1111" s="96" t="s">
        <v>3485</v>
      </c>
      <c r="D1111" s="12" t="s">
        <v>3486</v>
      </c>
      <c r="E1111" s="14"/>
      <c r="F1111" s="14"/>
      <c r="G1111" s="13" t="s">
        <v>790</v>
      </c>
      <c r="H1111" s="83"/>
      <c r="I1111" s="51">
        <f>594*0.3</f>
        <v>178.2</v>
      </c>
      <c r="J1111" s="16" t="s">
        <v>3255</v>
      </c>
    </row>
    <row r="1112" ht="30" spans="1:10">
      <c r="A1112" s="10">
        <v>1110</v>
      </c>
      <c r="B1112" s="10" t="s">
        <v>211</v>
      </c>
      <c r="C1112" s="96" t="s">
        <v>3487</v>
      </c>
      <c r="D1112" s="12" t="s">
        <v>3488</v>
      </c>
      <c r="E1112" s="14"/>
      <c r="F1112" s="14"/>
      <c r="G1112" s="13" t="s">
        <v>790</v>
      </c>
      <c r="H1112" s="83"/>
      <c r="I1112" s="47">
        <v>593.68</v>
      </c>
      <c r="J1112" s="16" t="s">
        <v>3255</v>
      </c>
    </row>
    <row r="1113" ht="42.75" spans="1:10">
      <c r="A1113" s="10">
        <v>1111</v>
      </c>
      <c r="B1113" s="10" t="s">
        <v>211</v>
      </c>
      <c r="C1113" s="96" t="s">
        <v>3489</v>
      </c>
      <c r="D1113" s="12" t="s">
        <v>3490</v>
      </c>
      <c r="E1113" s="12" t="s">
        <v>3491</v>
      </c>
      <c r="F1113" s="12" t="s">
        <v>3492</v>
      </c>
      <c r="G1113" s="13" t="s">
        <v>790</v>
      </c>
      <c r="H1113" s="82" t="s">
        <v>3451</v>
      </c>
      <c r="I1113" s="47">
        <v>1760</v>
      </c>
      <c r="J1113" s="16" t="s">
        <v>3255</v>
      </c>
    </row>
    <row r="1114" ht="30" spans="1:10">
      <c r="A1114" s="10">
        <v>1112</v>
      </c>
      <c r="B1114" s="10" t="s">
        <v>211</v>
      </c>
      <c r="C1114" s="96" t="s">
        <v>3493</v>
      </c>
      <c r="D1114" s="12" t="s">
        <v>3494</v>
      </c>
      <c r="E1114" s="14"/>
      <c r="F1114" s="14"/>
      <c r="G1114" s="13" t="s">
        <v>790</v>
      </c>
      <c r="H1114" s="83"/>
      <c r="I1114" s="51">
        <f>I1113*0.3</f>
        <v>528</v>
      </c>
      <c r="J1114" s="16" t="s">
        <v>3255</v>
      </c>
    </row>
    <row r="1115" ht="57" spans="1:10">
      <c r="A1115" s="10">
        <v>1113</v>
      </c>
      <c r="B1115" s="10" t="s">
        <v>211</v>
      </c>
      <c r="C1115" s="96" t="s">
        <v>3495</v>
      </c>
      <c r="D1115" s="12" t="s">
        <v>3496</v>
      </c>
      <c r="E1115" s="12" t="s">
        <v>3497</v>
      </c>
      <c r="F1115" s="12" t="s">
        <v>3498</v>
      </c>
      <c r="G1115" s="13" t="s">
        <v>16</v>
      </c>
      <c r="H1115" s="83"/>
      <c r="I1115" s="47">
        <v>903.64</v>
      </c>
      <c r="J1115" s="16" t="s">
        <v>3255</v>
      </c>
    </row>
    <row r="1116" ht="30" spans="1:10">
      <c r="A1116" s="10">
        <v>1114</v>
      </c>
      <c r="B1116" s="10" t="s">
        <v>211</v>
      </c>
      <c r="C1116" s="96" t="s">
        <v>3499</v>
      </c>
      <c r="D1116" s="12" t="s">
        <v>3500</v>
      </c>
      <c r="E1116" s="14"/>
      <c r="F1116" s="14"/>
      <c r="G1116" s="13" t="s">
        <v>16</v>
      </c>
      <c r="H1116" s="83"/>
      <c r="I1116" s="51">
        <f>904*0.3</f>
        <v>271.2</v>
      </c>
      <c r="J1116" s="16" t="s">
        <v>3255</v>
      </c>
    </row>
    <row r="1117" ht="45.75" spans="1:10">
      <c r="A1117" s="10">
        <v>1115</v>
      </c>
      <c r="B1117" s="10" t="s">
        <v>211</v>
      </c>
      <c r="C1117" s="96" t="s">
        <v>3501</v>
      </c>
      <c r="D1117" s="12" t="s">
        <v>3502</v>
      </c>
      <c r="E1117" s="14"/>
      <c r="F1117" s="14"/>
      <c r="G1117" s="13" t="s">
        <v>16</v>
      </c>
      <c r="H1117" s="83"/>
      <c r="I1117" s="47">
        <v>903.64</v>
      </c>
      <c r="J1117" s="16" t="s">
        <v>3255</v>
      </c>
    </row>
    <row r="1118" ht="57" spans="1:10">
      <c r="A1118" s="10">
        <v>1116</v>
      </c>
      <c r="B1118" s="10" t="s">
        <v>211</v>
      </c>
      <c r="C1118" s="96" t="s">
        <v>3503</v>
      </c>
      <c r="D1118" s="12" t="s">
        <v>3504</v>
      </c>
      <c r="E1118" s="12" t="s">
        <v>3505</v>
      </c>
      <c r="F1118" s="12" t="s">
        <v>3506</v>
      </c>
      <c r="G1118" s="13" t="s">
        <v>16</v>
      </c>
      <c r="H1118" s="83"/>
      <c r="I1118" s="47">
        <v>1102</v>
      </c>
      <c r="J1118" s="16" t="s">
        <v>3255</v>
      </c>
    </row>
    <row r="1119" ht="30" spans="1:10">
      <c r="A1119" s="10">
        <v>1117</v>
      </c>
      <c r="B1119" s="10" t="s">
        <v>211</v>
      </c>
      <c r="C1119" s="96" t="s">
        <v>3507</v>
      </c>
      <c r="D1119" s="12" t="s">
        <v>3508</v>
      </c>
      <c r="E1119" s="14"/>
      <c r="F1119" s="14"/>
      <c r="G1119" s="13" t="s">
        <v>16</v>
      </c>
      <c r="H1119" s="83"/>
      <c r="I1119" s="51">
        <f>I1118*0.3</f>
        <v>330.6</v>
      </c>
      <c r="J1119" s="16" t="s">
        <v>3255</v>
      </c>
    </row>
    <row r="1120" ht="58.5" spans="1:10">
      <c r="A1120" s="10">
        <v>1118</v>
      </c>
      <c r="B1120" s="10" t="s">
        <v>211</v>
      </c>
      <c r="C1120" s="96" t="s">
        <v>3509</v>
      </c>
      <c r="D1120" s="12" t="s">
        <v>3510</v>
      </c>
      <c r="E1120" s="12" t="s">
        <v>3511</v>
      </c>
      <c r="F1120" s="12" t="s">
        <v>3512</v>
      </c>
      <c r="G1120" s="13" t="s">
        <v>16</v>
      </c>
      <c r="H1120" s="83"/>
      <c r="I1120" s="47">
        <v>644.52</v>
      </c>
      <c r="J1120" s="16" t="s">
        <v>3255</v>
      </c>
    </row>
    <row r="1121" ht="30" spans="1:10">
      <c r="A1121" s="10">
        <v>1119</v>
      </c>
      <c r="B1121" s="10" t="s">
        <v>211</v>
      </c>
      <c r="C1121" s="96" t="s">
        <v>3513</v>
      </c>
      <c r="D1121" s="12" t="s">
        <v>3514</v>
      </c>
      <c r="E1121" s="14"/>
      <c r="F1121" s="14"/>
      <c r="G1121" s="13" t="s">
        <v>16</v>
      </c>
      <c r="H1121" s="83"/>
      <c r="I1121" s="51">
        <f>645*0.3</f>
        <v>193.5</v>
      </c>
      <c r="J1121" s="16" t="s">
        <v>3255</v>
      </c>
    </row>
    <row r="1122" ht="44.25" spans="1:10">
      <c r="A1122" s="10">
        <v>1120</v>
      </c>
      <c r="B1122" s="10" t="s">
        <v>211</v>
      </c>
      <c r="C1122" s="96" t="s">
        <v>3515</v>
      </c>
      <c r="D1122" s="12" t="s">
        <v>3516</v>
      </c>
      <c r="E1122" s="14"/>
      <c r="F1122" s="14"/>
      <c r="G1122" s="13" t="s">
        <v>16</v>
      </c>
      <c r="H1122" s="83"/>
      <c r="I1122" s="47">
        <v>644.52</v>
      </c>
      <c r="J1122" s="16" t="s">
        <v>3255</v>
      </c>
    </row>
    <row r="1123" ht="42.75" spans="1:10">
      <c r="A1123" s="10">
        <v>1121</v>
      </c>
      <c r="B1123" s="10" t="s">
        <v>211</v>
      </c>
      <c r="C1123" s="96" t="s">
        <v>3517</v>
      </c>
      <c r="D1123" s="12" t="s">
        <v>3518</v>
      </c>
      <c r="E1123" s="12" t="s">
        <v>3519</v>
      </c>
      <c r="F1123" s="12" t="s">
        <v>3492</v>
      </c>
      <c r="G1123" s="13" t="s">
        <v>16</v>
      </c>
      <c r="H1123" s="83"/>
      <c r="I1123" s="47">
        <v>2759</v>
      </c>
      <c r="J1123" s="16" t="s">
        <v>3255</v>
      </c>
    </row>
    <row r="1124" ht="30" spans="1:10">
      <c r="A1124" s="10">
        <v>1122</v>
      </c>
      <c r="B1124" s="10" t="s">
        <v>211</v>
      </c>
      <c r="C1124" s="96" t="s">
        <v>3520</v>
      </c>
      <c r="D1124" s="12" t="s">
        <v>3521</v>
      </c>
      <c r="E1124" s="14"/>
      <c r="F1124" s="14"/>
      <c r="G1124" s="13" t="s">
        <v>16</v>
      </c>
      <c r="H1124" s="83"/>
      <c r="I1124" s="51">
        <f>2759*0.3</f>
        <v>827.7</v>
      </c>
      <c r="J1124" s="16" t="s">
        <v>3255</v>
      </c>
    </row>
    <row r="1125" ht="42.75" spans="1:10">
      <c r="A1125" s="10">
        <v>1123</v>
      </c>
      <c r="B1125" s="10" t="s">
        <v>211</v>
      </c>
      <c r="C1125" s="96" t="s">
        <v>3522</v>
      </c>
      <c r="D1125" s="12" t="s">
        <v>3523</v>
      </c>
      <c r="E1125" s="12" t="s">
        <v>3524</v>
      </c>
      <c r="F1125" s="12" t="s">
        <v>3525</v>
      </c>
      <c r="G1125" s="13" t="s">
        <v>16</v>
      </c>
      <c r="H1125" s="83"/>
      <c r="I1125" s="47">
        <v>734.983606557377</v>
      </c>
      <c r="J1125" s="16" t="s">
        <v>3255</v>
      </c>
    </row>
    <row r="1126" ht="31.5" spans="1:10">
      <c r="A1126" s="10">
        <v>1124</v>
      </c>
      <c r="B1126" s="10" t="s">
        <v>211</v>
      </c>
      <c r="C1126" s="96" t="s">
        <v>3526</v>
      </c>
      <c r="D1126" s="12" t="s">
        <v>3527</v>
      </c>
      <c r="E1126" s="14"/>
      <c r="F1126" s="14"/>
      <c r="G1126" s="13" t="s">
        <v>16</v>
      </c>
      <c r="H1126" s="83"/>
      <c r="I1126" s="51">
        <f>735*0.3</f>
        <v>220.5</v>
      </c>
      <c r="J1126" s="16" t="s">
        <v>3255</v>
      </c>
    </row>
    <row r="1127" ht="42.75" spans="1:10">
      <c r="A1127" s="10">
        <v>1125</v>
      </c>
      <c r="B1127" s="10" t="s">
        <v>211</v>
      </c>
      <c r="C1127" s="96" t="s">
        <v>3528</v>
      </c>
      <c r="D1127" s="12" t="s">
        <v>3529</v>
      </c>
      <c r="E1127" s="12" t="s">
        <v>3530</v>
      </c>
      <c r="F1127" s="12" t="s">
        <v>3531</v>
      </c>
      <c r="G1127" s="13" t="s">
        <v>16</v>
      </c>
      <c r="H1127" s="83"/>
      <c r="I1127" s="47">
        <v>496</v>
      </c>
      <c r="J1127" s="16" t="s">
        <v>3255</v>
      </c>
    </row>
    <row r="1128" ht="31.5" spans="1:10">
      <c r="A1128" s="10">
        <v>1126</v>
      </c>
      <c r="B1128" s="10" t="s">
        <v>211</v>
      </c>
      <c r="C1128" s="96" t="s">
        <v>3532</v>
      </c>
      <c r="D1128" s="12" t="s">
        <v>3533</v>
      </c>
      <c r="E1128" s="14"/>
      <c r="F1128" s="14"/>
      <c r="G1128" s="13" t="s">
        <v>16</v>
      </c>
      <c r="H1128" s="85"/>
      <c r="I1128" s="51">
        <f>I1127*0.3</f>
        <v>148.8</v>
      </c>
      <c r="J1128" s="16" t="s">
        <v>3255</v>
      </c>
    </row>
    <row r="1129" ht="45.75" spans="1:10">
      <c r="A1129" s="10">
        <v>1127</v>
      </c>
      <c r="B1129" s="10" t="s">
        <v>211</v>
      </c>
      <c r="C1129" s="96" t="s">
        <v>3534</v>
      </c>
      <c r="D1129" s="12" t="s">
        <v>3535</v>
      </c>
      <c r="E1129" s="14"/>
      <c r="F1129" s="14"/>
      <c r="G1129" s="13" t="s">
        <v>16</v>
      </c>
      <c r="H1129" s="85"/>
      <c r="I1129" s="47">
        <v>496</v>
      </c>
      <c r="J1129" s="16" t="s">
        <v>3255</v>
      </c>
    </row>
    <row r="1130" ht="42.75" spans="1:10">
      <c r="A1130" s="10">
        <v>1128</v>
      </c>
      <c r="B1130" s="10" t="s">
        <v>211</v>
      </c>
      <c r="C1130" s="96" t="s">
        <v>3536</v>
      </c>
      <c r="D1130" s="12" t="s">
        <v>3537</v>
      </c>
      <c r="E1130" s="12" t="s">
        <v>3538</v>
      </c>
      <c r="F1130" s="12" t="s">
        <v>3539</v>
      </c>
      <c r="G1130" s="13" t="s">
        <v>16</v>
      </c>
      <c r="H1130" s="85"/>
      <c r="I1130" s="47">
        <v>146.78</v>
      </c>
      <c r="J1130" s="16" t="s">
        <v>3255</v>
      </c>
    </row>
    <row r="1131" ht="30" spans="1:10">
      <c r="A1131" s="10">
        <v>1129</v>
      </c>
      <c r="B1131" s="10" t="s">
        <v>211</v>
      </c>
      <c r="C1131" s="96" t="s">
        <v>3540</v>
      </c>
      <c r="D1131" s="12" t="s">
        <v>3541</v>
      </c>
      <c r="E1131" s="14"/>
      <c r="F1131" s="14"/>
      <c r="G1131" s="13" t="s">
        <v>16</v>
      </c>
      <c r="H1131" s="83"/>
      <c r="I1131" s="51">
        <f>147*0.3</f>
        <v>44.1</v>
      </c>
      <c r="J1131" s="16" t="s">
        <v>3255</v>
      </c>
    </row>
    <row r="1132" ht="44.25" spans="1:10">
      <c r="A1132" s="10">
        <v>1130</v>
      </c>
      <c r="B1132" s="10" t="s">
        <v>211</v>
      </c>
      <c r="C1132" s="96" t="s">
        <v>3542</v>
      </c>
      <c r="D1132" s="12" t="s">
        <v>3543</v>
      </c>
      <c r="E1132" s="12" t="s">
        <v>3544</v>
      </c>
      <c r="F1132" s="12" t="s">
        <v>3545</v>
      </c>
      <c r="G1132" s="13" t="s">
        <v>16</v>
      </c>
      <c r="H1132" s="83"/>
      <c r="I1132" s="47">
        <v>2785</v>
      </c>
      <c r="J1132" s="16" t="s">
        <v>3255</v>
      </c>
    </row>
    <row r="1133" ht="30" spans="1:10">
      <c r="A1133" s="10">
        <v>1131</v>
      </c>
      <c r="B1133" s="10" t="s">
        <v>211</v>
      </c>
      <c r="C1133" s="96" t="s">
        <v>3546</v>
      </c>
      <c r="D1133" s="12" t="s">
        <v>3547</v>
      </c>
      <c r="E1133" s="14"/>
      <c r="F1133" s="14"/>
      <c r="G1133" s="13" t="s">
        <v>16</v>
      </c>
      <c r="H1133" s="83"/>
      <c r="I1133" s="51">
        <f>2785*0.3</f>
        <v>835.5</v>
      </c>
      <c r="J1133" s="16" t="s">
        <v>3255</v>
      </c>
    </row>
    <row r="1134" ht="42.75" spans="1:10">
      <c r="A1134" s="10">
        <v>1132</v>
      </c>
      <c r="B1134" s="10" t="s">
        <v>211</v>
      </c>
      <c r="C1134" s="96" t="s">
        <v>3548</v>
      </c>
      <c r="D1134" s="12" t="s">
        <v>3549</v>
      </c>
      <c r="E1134" s="12" t="s">
        <v>3550</v>
      </c>
      <c r="F1134" s="12" t="s">
        <v>3551</v>
      </c>
      <c r="G1134" s="13" t="s">
        <v>16</v>
      </c>
      <c r="H1134" s="83"/>
      <c r="I1134" s="47">
        <v>3094.68</v>
      </c>
      <c r="J1134" s="16" t="s">
        <v>3255</v>
      </c>
    </row>
    <row r="1135" ht="30" spans="1:10">
      <c r="A1135" s="10">
        <v>1133</v>
      </c>
      <c r="B1135" s="10" t="s">
        <v>211</v>
      </c>
      <c r="C1135" s="96" t="s">
        <v>3552</v>
      </c>
      <c r="D1135" s="12" t="s">
        <v>3553</v>
      </c>
      <c r="E1135" s="14"/>
      <c r="F1135" s="14"/>
      <c r="G1135" s="13" t="s">
        <v>16</v>
      </c>
      <c r="H1135" s="83"/>
      <c r="I1135" s="51">
        <f>3095*0.3</f>
        <v>928.5</v>
      </c>
      <c r="J1135" s="16" t="s">
        <v>3255</v>
      </c>
    </row>
    <row r="1136" ht="30" spans="1:10">
      <c r="A1136" s="10">
        <v>1134</v>
      </c>
      <c r="B1136" s="10" t="s">
        <v>211</v>
      </c>
      <c r="C1136" s="96" t="s">
        <v>3554</v>
      </c>
      <c r="D1136" s="12" t="s">
        <v>3555</v>
      </c>
      <c r="E1136" s="14"/>
      <c r="F1136" s="14"/>
      <c r="G1136" s="13" t="s">
        <v>16</v>
      </c>
      <c r="H1136" s="83"/>
      <c r="I1136" s="47">
        <v>697</v>
      </c>
      <c r="J1136" s="16" t="s">
        <v>3255</v>
      </c>
    </row>
    <row r="1137" ht="42.75" spans="1:10">
      <c r="A1137" s="10">
        <v>1135</v>
      </c>
      <c r="B1137" s="10" t="s">
        <v>211</v>
      </c>
      <c r="C1137" s="96" t="s">
        <v>3556</v>
      </c>
      <c r="D1137" s="12" t="s">
        <v>3557</v>
      </c>
      <c r="E1137" s="12" t="s">
        <v>3558</v>
      </c>
      <c r="F1137" s="12" t="s">
        <v>3559</v>
      </c>
      <c r="G1137" s="13" t="s">
        <v>16</v>
      </c>
      <c r="H1137" s="83"/>
      <c r="I1137" s="47">
        <v>5216.84</v>
      </c>
      <c r="J1137" s="16" t="s">
        <v>3255</v>
      </c>
    </row>
    <row r="1138" ht="30" spans="1:10">
      <c r="A1138" s="10">
        <v>1136</v>
      </c>
      <c r="B1138" s="10" t="s">
        <v>211</v>
      </c>
      <c r="C1138" s="96" t="s">
        <v>3560</v>
      </c>
      <c r="D1138" s="12" t="s">
        <v>3561</v>
      </c>
      <c r="E1138" s="14"/>
      <c r="F1138" s="14"/>
      <c r="G1138" s="13" t="s">
        <v>16</v>
      </c>
      <c r="H1138" s="83"/>
      <c r="I1138" s="51">
        <f>I1137*0.3</f>
        <v>1565.052</v>
      </c>
      <c r="J1138" s="16" t="s">
        <v>3255</v>
      </c>
    </row>
    <row r="1139" ht="45.75" spans="1:10">
      <c r="A1139" s="10">
        <v>1137</v>
      </c>
      <c r="B1139" s="10" t="s">
        <v>211</v>
      </c>
      <c r="C1139" s="96" t="s">
        <v>3562</v>
      </c>
      <c r="D1139" s="12" t="s">
        <v>3563</v>
      </c>
      <c r="E1139" s="14"/>
      <c r="F1139" s="14"/>
      <c r="G1139" s="13" t="s">
        <v>16</v>
      </c>
      <c r="H1139" s="83"/>
      <c r="I1139" s="15">
        <v>1565</v>
      </c>
      <c r="J1139" s="16" t="s">
        <v>3255</v>
      </c>
    </row>
    <row r="1140" ht="45.75" spans="1:10">
      <c r="A1140" s="10">
        <v>1138</v>
      </c>
      <c r="B1140" s="10" t="s">
        <v>211</v>
      </c>
      <c r="C1140" s="96" t="s">
        <v>3564</v>
      </c>
      <c r="D1140" s="12" t="s">
        <v>3565</v>
      </c>
      <c r="E1140" s="14"/>
      <c r="F1140" s="14"/>
      <c r="G1140" s="13" t="s">
        <v>16</v>
      </c>
      <c r="H1140" s="83"/>
      <c r="I1140" s="15">
        <v>1386</v>
      </c>
      <c r="J1140" s="16" t="s">
        <v>3255</v>
      </c>
    </row>
    <row r="1141" ht="60" spans="1:10">
      <c r="A1141" s="10">
        <v>1139</v>
      </c>
      <c r="B1141" s="10" t="s">
        <v>211</v>
      </c>
      <c r="C1141" s="96" t="s">
        <v>3566</v>
      </c>
      <c r="D1141" s="12" t="s">
        <v>3567</v>
      </c>
      <c r="E1141" s="12" t="s">
        <v>3568</v>
      </c>
      <c r="F1141" s="12" t="s">
        <v>3559</v>
      </c>
      <c r="G1141" s="13" t="s">
        <v>16</v>
      </c>
      <c r="H1141" s="82" t="s">
        <v>3569</v>
      </c>
      <c r="I1141" s="15">
        <v>6782.22</v>
      </c>
      <c r="J1141" s="16" t="s">
        <v>3255</v>
      </c>
    </row>
    <row r="1142" ht="30" spans="1:10">
      <c r="A1142" s="10">
        <v>1140</v>
      </c>
      <c r="B1142" s="10" t="s">
        <v>211</v>
      </c>
      <c r="C1142" s="96" t="s">
        <v>3570</v>
      </c>
      <c r="D1142" s="12" t="s">
        <v>3571</v>
      </c>
      <c r="E1142" s="14"/>
      <c r="F1142" s="14"/>
      <c r="G1142" s="13" t="s">
        <v>16</v>
      </c>
      <c r="H1142" s="83"/>
      <c r="I1142" s="51">
        <f>6782*0.3</f>
        <v>2034.6</v>
      </c>
      <c r="J1142" s="16" t="s">
        <v>3255</v>
      </c>
    </row>
    <row r="1143" ht="60" spans="1:10">
      <c r="A1143" s="10">
        <v>1141</v>
      </c>
      <c r="B1143" s="10" t="s">
        <v>211</v>
      </c>
      <c r="C1143" s="96" t="s">
        <v>3572</v>
      </c>
      <c r="D1143" s="12" t="s">
        <v>3573</v>
      </c>
      <c r="E1143" s="14"/>
      <c r="F1143" s="14"/>
      <c r="G1143" s="13" t="s">
        <v>16</v>
      </c>
      <c r="H1143" s="82" t="s">
        <v>3569</v>
      </c>
      <c r="I1143" s="15">
        <v>2050</v>
      </c>
      <c r="J1143" s="16" t="s">
        <v>3255</v>
      </c>
    </row>
    <row r="1144" ht="30" spans="1:10">
      <c r="A1144" s="10">
        <v>1142</v>
      </c>
      <c r="B1144" s="10" t="s">
        <v>211</v>
      </c>
      <c r="C1144" s="96" t="s">
        <v>3574</v>
      </c>
      <c r="D1144" s="12" t="s">
        <v>3575</v>
      </c>
      <c r="E1144" s="14"/>
      <c r="F1144" s="14"/>
      <c r="G1144" s="13" t="s">
        <v>16</v>
      </c>
      <c r="H1144" s="83"/>
      <c r="I1144" s="15">
        <v>1386</v>
      </c>
      <c r="J1144" s="16" t="s">
        <v>3255</v>
      </c>
    </row>
    <row r="1145" ht="42.75" spans="1:10">
      <c r="A1145" s="10">
        <v>1143</v>
      </c>
      <c r="B1145" s="10" t="s">
        <v>211</v>
      </c>
      <c r="C1145" s="96" t="s">
        <v>3576</v>
      </c>
      <c r="D1145" s="12" t="s">
        <v>3577</v>
      </c>
      <c r="E1145" s="12" t="s">
        <v>3578</v>
      </c>
      <c r="F1145" s="12" t="s">
        <v>3579</v>
      </c>
      <c r="G1145" s="13" t="s">
        <v>16</v>
      </c>
      <c r="H1145" s="83"/>
      <c r="I1145" s="47">
        <v>2850.32</v>
      </c>
      <c r="J1145" s="16" t="s">
        <v>3255</v>
      </c>
    </row>
    <row r="1146" ht="30" spans="1:10">
      <c r="A1146" s="10">
        <v>1144</v>
      </c>
      <c r="B1146" s="10" t="s">
        <v>211</v>
      </c>
      <c r="C1146" s="96" t="s">
        <v>3580</v>
      </c>
      <c r="D1146" s="12" t="s">
        <v>3581</v>
      </c>
      <c r="E1146" s="14"/>
      <c r="F1146" s="14"/>
      <c r="G1146" s="13" t="s">
        <v>16</v>
      </c>
      <c r="H1146" s="85"/>
      <c r="I1146" s="51">
        <f>2850*0.3</f>
        <v>855</v>
      </c>
      <c r="J1146" s="16" t="s">
        <v>3255</v>
      </c>
    </row>
    <row r="1147" ht="42.75" spans="1:10">
      <c r="A1147" s="10">
        <v>1145</v>
      </c>
      <c r="B1147" s="10" t="s">
        <v>211</v>
      </c>
      <c r="C1147" s="96" t="s">
        <v>3582</v>
      </c>
      <c r="D1147" s="12" t="s">
        <v>3583</v>
      </c>
      <c r="E1147" s="12" t="s">
        <v>3584</v>
      </c>
      <c r="F1147" s="12" t="s">
        <v>3585</v>
      </c>
      <c r="G1147" s="13" t="s">
        <v>16</v>
      </c>
      <c r="H1147" s="85"/>
      <c r="I1147" s="47">
        <v>2876.56</v>
      </c>
      <c r="J1147" s="16" t="s">
        <v>3255</v>
      </c>
    </row>
    <row r="1148" ht="30" spans="1:10">
      <c r="A1148" s="10">
        <v>1146</v>
      </c>
      <c r="B1148" s="10" t="s">
        <v>211</v>
      </c>
      <c r="C1148" s="96" t="s">
        <v>3586</v>
      </c>
      <c r="D1148" s="12" t="s">
        <v>3587</v>
      </c>
      <c r="E1148" s="14"/>
      <c r="F1148" s="14"/>
      <c r="G1148" s="13" t="s">
        <v>16</v>
      </c>
      <c r="H1148" s="83"/>
      <c r="I1148" s="51">
        <f>2877*0.3</f>
        <v>863.1</v>
      </c>
      <c r="J1148" s="16" t="s">
        <v>3255</v>
      </c>
    </row>
    <row r="1149" ht="42.75" spans="1:10">
      <c r="A1149" s="10">
        <v>1147</v>
      </c>
      <c r="B1149" s="10" t="s">
        <v>211</v>
      </c>
      <c r="C1149" s="96" t="s">
        <v>3588</v>
      </c>
      <c r="D1149" s="12" t="s">
        <v>3589</v>
      </c>
      <c r="E1149" s="12" t="s">
        <v>3590</v>
      </c>
      <c r="F1149" s="12" t="s">
        <v>3591</v>
      </c>
      <c r="G1149" s="13" t="s">
        <v>16</v>
      </c>
      <c r="H1149" s="83"/>
      <c r="I1149" s="47">
        <v>1666.24</v>
      </c>
      <c r="J1149" s="16" t="s">
        <v>3255</v>
      </c>
    </row>
    <row r="1150" ht="30" spans="1:10">
      <c r="A1150" s="10">
        <v>1148</v>
      </c>
      <c r="B1150" s="10" t="s">
        <v>211</v>
      </c>
      <c r="C1150" s="96" t="s">
        <v>3592</v>
      </c>
      <c r="D1150" s="12" t="s">
        <v>3593</v>
      </c>
      <c r="E1150" s="14"/>
      <c r="F1150" s="14"/>
      <c r="G1150" s="13" t="s">
        <v>16</v>
      </c>
      <c r="H1150" s="83"/>
      <c r="I1150" s="51">
        <f>1666*0.3</f>
        <v>499.8</v>
      </c>
      <c r="J1150" s="16" t="s">
        <v>3255</v>
      </c>
    </row>
    <row r="1151" ht="61.5" spans="1:10">
      <c r="A1151" s="10">
        <v>1149</v>
      </c>
      <c r="B1151" s="10" t="s">
        <v>211</v>
      </c>
      <c r="C1151" s="96" t="s">
        <v>3594</v>
      </c>
      <c r="D1151" s="12" t="s">
        <v>3595</v>
      </c>
      <c r="E1151" s="12" t="s">
        <v>3596</v>
      </c>
      <c r="F1151" s="12" t="s">
        <v>3597</v>
      </c>
      <c r="G1151" s="13" t="s">
        <v>16</v>
      </c>
      <c r="H1151" s="82" t="s">
        <v>3598</v>
      </c>
      <c r="I1151" s="47">
        <v>2771.6</v>
      </c>
      <c r="J1151" s="16" t="s">
        <v>3255</v>
      </c>
    </row>
    <row r="1152" ht="15.75" spans="1:10">
      <c r="A1152" s="10">
        <v>1150</v>
      </c>
      <c r="B1152" s="10" t="s">
        <v>211</v>
      </c>
      <c r="C1152" s="96" t="s">
        <v>3599</v>
      </c>
      <c r="D1152" s="12" t="s">
        <v>3600</v>
      </c>
      <c r="E1152" s="14"/>
      <c r="F1152" s="14"/>
      <c r="G1152" s="13" t="s">
        <v>16</v>
      </c>
      <c r="H1152" s="83"/>
      <c r="I1152" s="51">
        <f>2772*0.3</f>
        <v>831.6</v>
      </c>
      <c r="J1152" s="16" t="s">
        <v>3255</v>
      </c>
    </row>
    <row r="1153" ht="30" spans="1:10">
      <c r="A1153" s="10">
        <v>1151</v>
      </c>
      <c r="B1153" s="10" t="s">
        <v>211</v>
      </c>
      <c r="C1153" s="96" t="s">
        <v>3601</v>
      </c>
      <c r="D1153" s="12" t="s">
        <v>3602</v>
      </c>
      <c r="E1153" s="14"/>
      <c r="F1153" s="14"/>
      <c r="G1153" s="13" t="s">
        <v>16</v>
      </c>
      <c r="H1153" s="83"/>
      <c r="I1153" s="15">
        <v>1386</v>
      </c>
      <c r="J1153" s="16" t="s">
        <v>3255</v>
      </c>
    </row>
    <row r="1154" ht="57" spans="1:10">
      <c r="A1154" s="10">
        <v>1152</v>
      </c>
      <c r="B1154" s="10" t="s">
        <v>211</v>
      </c>
      <c r="C1154" s="96" t="s">
        <v>3603</v>
      </c>
      <c r="D1154" s="12" t="s">
        <v>3604</v>
      </c>
      <c r="E1154" s="12" t="s">
        <v>3605</v>
      </c>
      <c r="F1154" s="12" t="s">
        <v>3606</v>
      </c>
      <c r="G1154" s="13" t="s">
        <v>16</v>
      </c>
      <c r="H1154" s="83"/>
      <c r="I1154" s="15">
        <v>3545</v>
      </c>
      <c r="J1154" s="16" t="s">
        <v>3255</v>
      </c>
    </row>
    <row r="1155" ht="30" spans="1:10">
      <c r="A1155" s="10">
        <v>1153</v>
      </c>
      <c r="B1155" s="10" t="s">
        <v>211</v>
      </c>
      <c r="C1155" s="96" t="s">
        <v>3607</v>
      </c>
      <c r="D1155" s="12" t="s">
        <v>3608</v>
      </c>
      <c r="E1155" s="14"/>
      <c r="F1155" s="14"/>
      <c r="G1155" s="13" t="s">
        <v>16</v>
      </c>
      <c r="H1155" s="83"/>
      <c r="I1155" s="51">
        <f>3545*0.3</f>
        <v>1063.5</v>
      </c>
      <c r="J1155" s="16" t="s">
        <v>3255</v>
      </c>
    </row>
    <row r="1156" ht="30" spans="1:10">
      <c r="A1156" s="10">
        <v>1154</v>
      </c>
      <c r="B1156" s="10" t="s">
        <v>211</v>
      </c>
      <c r="C1156" s="96" t="s">
        <v>3609</v>
      </c>
      <c r="D1156" s="12" t="s">
        <v>3610</v>
      </c>
      <c r="E1156" s="14"/>
      <c r="F1156" s="14"/>
      <c r="G1156" s="13" t="s">
        <v>16</v>
      </c>
      <c r="H1156" s="83"/>
      <c r="I1156" s="15">
        <v>1461</v>
      </c>
      <c r="J1156" s="16" t="s">
        <v>3255</v>
      </c>
    </row>
    <row r="1157" ht="30" spans="1:10">
      <c r="A1157" s="10">
        <v>1155</v>
      </c>
      <c r="B1157" s="10" t="s">
        <v>211</v>
      </c>
      <c r="C1157" s="96" t="s">
        <v>3611</v>
      </c>
      <c r="D1157" s="12" t="s">
        <v>3612</v>
      </c>
      <c r="E1157" s="14"/>
      <c r="F1157" s="14"/>
      <c r="G1157" s="13" t="s">
        <v>16</v>
      </c>
      <c r="H1157" s="83"/>
      <c r="I1157" s="15">
        <v>1772</v>
      </c>
      <c r="J1157" s="16" t="s">
        <v>3255</v>
      </c>
    </row>
    <row r="1158" ht="60" spans="1:10">
      <c r="A1158" s="10">
        <v>1156</v>
      </c>
      <c r="B1158" s="10" t="s">
        <v>211</v>
      </c>
      <c r="C1158" s="96" t="s">
        <v>3613</v>
      </c>
      <c r="D1158" s="12" t="s">
        <v>3614</v>
      </c>
      <c r="E1158" s="12" t="s">
        <v>3615</v>
      </c>
      <c r="F1158" s="12" t="s">
        <v>3606</v>
      </c>
      <c r="G1158" s="13" t="s">
        <v>16</v>
      </c>
      <c r="H1158" s="82" t="s">
        <v>3569</v>
      </c>
      <c r="I1158" s="15">
        <v>4375.52</v>
      </c>
      <c r="J1158" s="16" t="s">
        <v>3255</v>
      </c>
    </row>
    <row r="1159" ht="30" spans="1:10">
      <c r="A1159" s="10">
        <v>1157</v>
      </c>
      <c r="B1159" s="10" t="s">
        <v>211</v>
      </c>
      <c r="C1159" s="96" t="s">
        <v>3616</v>
      </c>
      <c r="D1159" s="12" t="s">
        <v>3617</v>
      </c>
      <c r="E1159" s="14"/>
      <c r="F1159" s="14"/>
      <c r="G1159" s="13" t="s">
        <v>16</v>
      </c>
      <c r="H1159" s="83"/>
      <c r="I1159" s="51">
        <f>4376*0.3</f>
        <v>1312.8</v>
      </c>
      <c r="J1159" s="16" t="s">
        <v>3255</v>
      </c>
    </row>
    <row r="1160" ht="60" spans="1:10">
      <c r="A1160" s="10">
        <v>1158</v>
      </c>
      <c r="B1160" s="10" t="s">
        <v>211</v>
      </c>
      <c r="C1160" s="96" t="s">
        <v>3618</v>
      </c>
      <c r="D1160" s="12" t="s">
        <v>3619</v>
      </c>
      <c r="E1160" s="14"/>
      <c r="F1160" s="14"/>
      <c r="G1160" s="13" t="s">
        <v>16</v>
      </c>
      <c r="H1160" s="82" t="s">
        <v>3569</v>
      </c>
      <c r="I1160" s="15">
        <v>2050</v>
      </c>
      <c r="J1160" s="16" t="s">
        <v>3255</v>
      </c>
    </row>
    <row r="1161" ht="30" spans="1:10">
      <c r="A1161" s="10">
        <v>1159</v>
      </c>
      <c r="B1161" s="10" t="s">
        <v>211</v>
      </c>
      <c r="C1161" s="96" t="s">
        <v>3620</v>
      </c>
      <c r="D1161" s="12" t="s">
        <v>3621</v>
      </c>
      <c r="E1161" s="14"/>
      <c r="F1161" s="14"/>
      <c r="G1161" s="13" t="s">
        <v>16</v>
      </c>
      <c r="H1161" s="83"/>
      <c r="I1161" s="15">
        <v>656</v>
      </c>
      <c r="J1161" s="16" t="s">
        <v>3255</v>
      </c>
    </row>
    <row r="1162" ht="60" spans="1:10">
      <c r="A1162" s="10">
        <v>1160</v>
      </c>
      <c r="B1162" s="10" t="s">
        <v>211</v>
      </c>
      <c r="C1162" s="96" t="s">
        <v>3622</v>
      </c>
      <c r="D1162" s="12" t="s">
        <v>3623</v>
      </c>
      <c r="E1162" s="12" t="s">
        <v>3624</v>
      </c>
      <c r="F1162" s="12" t="s">
        <v>3606</v>
      </c>
      <c r="G1162" s="13" t="s">
        <v>16</v>
      </c>
      <c r="H1162" s="82" t="s">
        <v>3569</v>
      </c>
      <c r="I1162" s="47">
        <v>5383.3</v>
      </c>
      <c r="J1162" s="16" t="s">
        <v>3255</v>
      </c>
    </row>
    <row r="1163" ht="30" spans="1:10">
      <c r="A1163" s="10">
        <v>1161</v>
      </c>
      <c r="B1163" s="10" t="s">
        <v>211</v>
      </c>
      <c r="C1163" s="96" t="s">
        <v>3625</v>
      </c>
      <c r="D1163" s="12" t="s">
        <v>3626</v>
      </c>
      <c r="E1163" s="14"/>
      <c r="F1163" s="14"/>
      <c r="G1163" s="13" t="s">
        <v>16</v>
      </c>
      <c r="H1163" s="83"/>
      <c r="I1163" s="51">
        <f>5383*0.3</f>
        <v>1614.9</v>
      </c>
      <c r="J1163" s="16" t="s">
        <v>3255</v>
      </c>
    </row>
    <row r="1164" ht="60" spans="1:10">
      <c r="A1164" s="10">
        <v>1162</v>
      </c>
      <c r="B1164" s="10" t="s">
        <v>211</v>
      </c>
      <c r="C1164" s="96" t="s">
        <v>3627</v>
      </c>
      <c r="D1164" s="12" t="s">
        <v>3628</v>
      </c>
      <c r="E1164" s="14"/>
      <c r="F1164" s="14"/>
      <c r="G1164" s="13" t="s">
        <v>16</v>
      </c>
      <c r="H1164" s="82" t="s">
        <v>3569</v>
      </c>
      <c r="I1164" s="47">
        <v>2050</v>
      </c>
      <c r="J1164" s="16" t="s">
        <v>3255</v>
      </c>
    </row>
    <row r="1165" ht="57" spans="1:10">
      <c r="A1165" s="10">
        <v>1163</v>
      </c>
      <c r="B1165" s="10" t="s">
        <v>211</v>
      </c>
      <c r="C1165" s="96" t="s">
        <v>3629</v>
      </c>
      <c r="D1165" s="12" t="s">
        <v>3630</v>
      </c>
      <c r="E1165" s="12" t="s">
        <v>3631</v>
      </c>
      <c r="F1165" s="12" t="s">
        <v>3632</v>
      </c>
      <c r="G1165" s="13" t="s">
        <v>16</v>
      </c>
      <c r="H1165" s="82" t="s">
        <v>3633</v>
      </c>
      <c r="I1165" s="47">
        <v>3211.12</v>
      </c>
      <c r="J1165" s="16" t="s">
        <v>3255</v>
      </c>
    </row>
    <row r="1166" ht="30" spans="1:10">
      <c r="A1166" s="10">
        <v>1164</v>
      </c>
      <c r="B1166" s="10" t="s">
        <v>211</v>
      </c>
      <c r="C1166" s="96" t="s">
        <v>3634</v>
      </c>
      <c r="D1166" s="12" t="s">
        <v>3635</v>
      </c>
      <c r="E1166" s="14"/>
      <c r="F1166" s="14"/>
      <c r="G1166" s="13" t="s">
        <v>16</v>
      </c>
      <c r="H1166" s="83"/>
      <c r="I1166" s="51">
        <f>3211*0.3</f>
        <v>963.3</v>
      </c>
      <c r="J1166" s="16" t="s">
        <v>3255</v>
      </c>
    </row>
    <row r="1167" ht="57" spans="1:10">
      <c r="A1167" s="10">
        <v>1165</v>
      </c>
      <c r="B1167" s="10" t="s">
        <v>211</v>
      </c>
      <c r="C1167" s="96" t="s">
        <v>3636</v>
      </c>
      <c r="D1167" s="12" t="s">
        <v>3637</v>
      </c>
      <c r="E1167" s="12" t="s">
        <v>3638</v>
      </c>
      <c r="F1167" s="12" t="s">
        <v>3639</v>
      </c>
      <c r="G1167" s="13" t="s">
        <v>16</v>
      </c>
      <c r="H1167" s="83"/>
      <c r="I1167" s="47">
        <v>2667.46</v>
      </c>
      <c r="J1167" s="16" t="s">
        <v>3255</v>
      </c>
    </row>
    <row r="1168" ht="30" spans="1:10">
      <c r="A1168" s="10">
        <v>1166</v>
      </c>
      <c r="B1168" s="10" t="s">
        <v>211</v>
      </c>
      <c r="C1168" s="96" t="s">
        <v>3640</v>
      </c>
      <c r="D1168" s="12" t="s">
        <v>3641</v>
      </c>
      <c r="E1168" s="14"/>
      <c r="F1168" s="14"/>
      <c r="G1168" s="13" t="s">
        <v>16</v>
      </c>
      <c r="H1168" s="86"/>
      <c r="I1168" s="51">
        <f>2667*0.3</f>
        <v>800.1</v>
      </c>
      <c r="J1168" s="16" t="s">
        <v>3255</v>
      </c>
    </row>
    <row r="1169" ht="42.75" spans="1:10">
      <c r="A1169" s="10">
        <v>1167</v>
      </c>
      <c r="B1169" s="10" t="s">
        <v>211</v>
      </c>
      <c r="C1169" s="96" t="s">
        <v>3642</v>
      </c>
      <c r="D1169" s="12" t="s">
        <v>3643</v>
      </c>
      <c r="E1169" s="12" t="s">
        <v>3644</v>
      </c>
      <c r="F1169" s="12" t="s">
        <v>3645</v>
      </c>
      <c r="G1169" s="13" t="s">
        <v>16</v>
      </c>
      <c r="H1169" s="86"/>
      <c r="I1169" s="47">
        <v>2508.38</v>
      </c>
      <c r="J1169" s="16" t="s">
        <v>3255</v>
      </c>
    </row>
    <row r="1170" ht="30" spans="1:10">
      <c r="A1170" s="10">
        <v>1168</v>
      </c>
      <c r="B1170" s="10" t="s">
        <v>211</v>
      </c>
      <c r="C1170" s="87" t="s">
        <v>3646</v>
      </c>
      <c r="D1170" s="79" t="s">
        <v>3647</v>
      </c>
      <c r="E1170" s="14"/>
      <c r="F1170" s="14"/>
      <c r="G1170" s="13" t="s">
        <v>16</v>
      </c>
      <c r="H1170" s="83"/>
      <c r="I1170" s="51">
        <f>2508*0.3</f>
        <v>752.4</v>
      </c>
      <c r="J1170" s="16" t="s">
        <v>3255</v>
      </c>
    </row>
    <row r="1171" ht="61.5" spans="1:10">
      <c r="A1171" s="10">
        <v>1169</v>
      </c>
      <c r="B1171" s="10" t="s">
        <v>211</v>
      </c>
      <c r="C1171" s="87" t="s">
        <v>3648</v>
      </c>
      <c r="D1171" s="79" t="s">
        <v>3649</v>
      </c>
      <c r="E1171" s="12" t="s">
        <v>3650</v>
      </c>
      <c r="F1171" s="12" t="s">
        <v>3651</v>
      </c>
      <c r="G1171" s="88" t="s">
        <v>16</v>
      </c>
      <c r="H1171" s="82" t="s">
        <v>3598</v>
      </c>
      <c r="I1171" s="47">
        <v>2767.5</v>
      </c>
      <c r="J1171" s="16" t="s">
        <v>3255</v>
      </c>
    </row>
    <row r="1172" ht="30" spans="1:10">
      <c r="A1172" s="10">
        <v>1170</v>
      </c>
      <c r="B1172" s="10" t="s">
        <v>211</v>
      </c>
      <c r="C1172" s="96" t="s">
        <v>3652</v>
      </c>
      <c r="D1172" s="12" t="s">
        <v>3653</v>
      </c>
      <c r="E1172" s="14"/>
      <c r="F1172" s="14"/>
      <c r="G1172" s="88" t="s">
        <v>16</v>
      </c>
      <c r="H1172" s="83"/>
      <c r="I1172" s="51">
        <f>2768*0.3</f>
        <v>830.4</v>
      </c>
      <c r="J1172" s="16" t="s">
        <v>3255</v>
      </c>
    </row>
    <row r="1173" ht="30" spans="1:10">
      <c r="A1173" s="10">
        <v>1171</v>
      </c>
      <c r="B1173" s="10" t="s">
        <v>211</v>
      </c>
      <c r="C1173" s="96" t="s">
        <v>3654</v>
      </c>
      <c r="D1173" s="12" t="s">
        <v>3655</v>
      </c>
      <c r="E1173" s="14"/>
      <c r="F1173" s="14"/>
      <c r="G1173" s="88" t="s">
        <v>16</v>
      </c>
      <c r="H1173" s="83"/>
      <c r="I1173" s="47">
        <v>998</v>
      </c>
      <c r="J1173" s="16" t="s">
        <v>3255</v>
      </c>
    </row>
    <row r="1174" ht="57" spans="1:10">
      <c r="A1174" s="10">
        <v>1172</v>
      </c>
      <c r="B1174" s="10" t="s">
        <v>211</v>
      </c>
      <c r="C1174" s="96" t="s">
        <v>3656</v>
      </c>
      <c r="D1174" s="12" t="s">
        <v>3657</v>
      </c>
      <c r="E1174" s="12" t="s">
        <v>3658</v>
      </c>
      <c r="F1174" s="12" t="s">
        <v>3659</v>
      </c>
      <c r="G1174" s="13" t="s">
        <v>16</v>
      </c>
      <c r="H1174" s="83"/>
      <c r="I1174" s="47">
        <v>2573.16</v>
      </c>
      <c r="J1174" s="16" t="s">
        <v>3255</v>
      </c>
    </row>
    <row r="1175" ht="30" spans="1:10">
      <c r="A1175" s="10">
        <v>1173</v>
      </c>
      <c r="B1175" s="10" t="s">
        <v>211</v>
      </c>
      <c r="C1175" s="96" t="s">
        <v>3660</v>
      </c>
      <c r="D1175" s="12" t="s">
        <v>3661</v>
      </c>
      <c r="E1175" s="14"/>
      <c r="F1175" s="14"/>
      <c r="G1175" s="13" t="s">
        <v>16</v>
      </c>
      <c r="H1175" s="83"/>
      <c r="I1175" s="51">
        <f>2573*0.3</f>
        <v>771.9</v>
      </c>
      <c r="J1175" s="16" t="s">
        <v>3255</v>
      </c>
    </row>
    <row r="1176" ht="57" spans="1:10">
      <c r="A1176" s="10">
        <v>1174</v>
      </c>
      <c r="B1176" s="10" t="s">
        <v>211</v>
      </c>
      <c r="C1176" s="96" t="s">
        <v>3662</v>
      </c>
      <c r="D1176" s="12" t="s">
        <v>3663</v>
      </c>
      <c r="E1176" s="12" t="s">
        <v>3664</v>
      </c>
      <c r="F1176" s="12" t="s">
        <v>3665</v>
      </c>
      <c r="G1176" s="13" t="s">
        <v>16</v>
      </c>
      <c r="H1176" s="82" t="s">
        <v>3666</v>
      </c>
      <c r="I1176" s="47">
        <v>2753.56</v>
      </c>
      <c r="J1176" s="16" t="s">
        <v>3255</v>
      </c>
    </row>
    <row r="1177" ht="30" spans="1:10">
      <c r="A1177" s="10">
        <v>1175</v>
      </c>
      <c r="B1177" s="10" t="s">
        <v>211</v>
      </c>
      <c r="C1177" s="96" t="s">
        <v>3667</v>
      </c>
      <c r="D1177" s="12" t="s">
        <v>3668</v>
      </c>
      <c r="E1177" s="14"/>
      <c r="F1177" s="14"/>
      <c r="G1177" s="13" t="s">
        <v>16</v>
      </c>
      <c r="H1177" s="83"/>
      <c r="I1177" s="51">
        <f>2754*0.3</f>
        <v>826.2</v>
      </c>
      <c r="J1177" s="16" t="s">
        <v>3255</v>
      </c>
    </row>
    <row r="1178" ht="75.75" spans="1:10">
      <c r="A1178" s="10">
        <v>1176</v>
      </c>
      <c r="B1178" s="10" t="s">
        <v>211</v>
      </c>
      <c r="C1178" s="96" t="s">
        <v>3669</v>
      </c>
      <c r="D1178" s="12" t="s">
        <v>3670</v>
      </c>
      <c r="E1178" s="12" t="s">
        <v>3671</v>
      </c>
      <c r="F1178" s="12" t="s">
        <v>3665</v>
      </c>
      <c r="G1178" s="13" t="s">
        <v>16</v>
      </c>
      <c r="H1178" s="83" t="s">
        <v>3672</v>
      </c>
      <c r="I1178" s="47">
        <v>3579.3</v>
      </c>
      <c r="J1178" s="16" t="s">
        <v>3255</v>
      </c>
    </row>
    <row r="1179" ht="30" spans="1:10">
      <c r="A1179" s="10">
        <v>1177</v>
      </c>
      <c r="B1179" s="10" t="s">
        <v>211</v>
      </c>
      <c r="C1179" s="96" t="s">
        <v>3673</v>
      </c>
      <c r="D1179" s="12" t="s">
        <v>3674</v>
      </c>
      <c r="E1179" s="14"/>
      <c r="F1179" s="14"/>
      <c r="G1179" s="13" t="s">
        <v>16</v>
      </c>
      <c r="H1179" s="83"/>
      <c r="I1179" s="51">
        <f>3579*0.3</f>
        <v>1073.7</v>
      </c>
      <c r="J1179" s="16" t="s">
        <v>3255</v>
      </c>
    </row>
    <row r="1180" ht="57" spans="1:10">
      <c r="A1180" s="10">
        <v>1178</v>
      </c>
      <c r="B1180" s="10" t="s">
        <v>211</v>
      </c>
      <c r="C1180" s="96" t="s">
        <v>3675</v>
      </c>
      <c r="D1180" s="12" t="s">
        <v>3676</v>
      </c>
      <c r="E1180" s="12" t="s">
        <v>3677</v>
      </c>
      <c r="F1180" s="12" t="s">
        <v>3606</v>
      </c>
      <c r="G1180" s="13" t="s">
        <v>16</v>
      </c>
      <c r="H1180" s="83"/>
      <c r="I1180" s="47">
        <v>2945.5314861461</v>
      </c>
      <c r="J1180" s="16" t="s">
        <v>3255</v>
      </c>
    </row>
    <row r="1181" ht="30" spans="1:10">
      <c r="A1181" s="10">
        <v>1179</v>
      </c>
      <c r="B1181" s="10" t="s">
        <v>211</v>
      </c>
      <c r="C1181" s="87" t="s">
        <v>3678</v>
      </c>
      <c r="D1181" s="79" t="s">
        <v>3679</v>
      </c>
      <c r="E1181" s="14"/>
      <c r="F1181" s="14"/>
      <c r="G1181" s="13" t="s">
        <v>16</v>
      </c>
      <c r="H1181" s="83"/>
      <c r="I1181" s="51">
        <f>2946*0.3</f>
        <v>883.8</v>
      </c>
      <c r="J1181" s="16" t="s">
        <v>3255</v>
      </c>
    </row>
    <row r="1182" ht="30" spans="1:10">
      <c r="A1182" s="10">
        <v>1180</v>
      </c>
      <c r="B1182" s="10" t="s">
        <v>211</v>
      </c>
      <c r="C1182" s="87" t="s">
        <v>3680</v>
      </c>
      <c r="D1182" s="79" t="s">
        <v>3681</v>
      </c>
      <c r="E1182" s="14"/>
      <c r="F1182" s="14"/>
      <c r="G1182" s="13" t="s">
        <v>16</v>
      </c>
      <c r="H1182" s="83"/>
      <c r="I1182" s="47">
        <v>718</v>
      </c>
      <c r="J1182" s="16" t="s">
        <v>3255</v>
      </c>
    </row>
    <row r="1183" ht="30" spans="1:10">
      <c r="A1183" s="10">
        <v>1181</v>
      </c>
      <c r="B1183" s="10" t="s">
        <v>211</v>
      </c>
      <c r="C1183" s="87" t="s">
        <v>3682</v>
      </c>
      <c r="D1183" s="79" t="s">
        <v>3683</v>
      </c>
      <c r="E1183" s="14"/>
      <c r="F1183" s="14"/>
      <c r="G1183" s="13" t="s">
        <v>16</v>
      </c>
      <c r="H1183" s="83"/>
      <c r="I1183" s="47">
        <v>1473</v>
      </c>
      <c r="J1183" s="16" t="s">
        <v>3255</v>
      </c>
    </row>
    <row r="1184" ht="61.5" spans="1:10">
      <c r="A1184" s="10">
        <v>1182</v>
      </c>
      <c r="B1184" s="10" t="s">
        <v>211</v>
      </c>
      <c r="C1184" s="87" t="s">
        <v>3684</v>
      </c>
      <c r="D1184" s="79" t="s">
        <v>3685</v>
      </c>
      <c r="E1184" s="12" t="s">
        <v>3686</v>
      </c>
      <c r="F1184" s="12" t="s">
        <v>3651</v>
      </c>
      <c r="G1184" s="88" t="s">
        <v>16</v>
      </c>
      <c r="H1184" s="82" t="s">
        <v>3598</v>
      </c>
      <c r="I1184" s="47">
        <v>2545.94422310757</v>
      </c>
      <c r="J1184" s="16" t="s">
        <v>3255</v>
      </c>
    </row>
    <row r="1185" ht="15.75" spans="1:10">
      <c r="A1185" s="10">
        <v>1183</v>
      </c>
      <c r="B1185" s="10" t="s">
        <v>211</v>
      </c>
      <c r="C1185" s="87" t="s">
        <v>3687</v>
      </c>
      <c r="D1185" s="79" t="s">
        <v>3688</v>
      </c>
      <c r="E1185" s="14"/>
      <c r="F1185" s="14"/>
      <c r="G1185" s="88" t="s">
        <v>16</v>
      </c>
      <c r="H1185" s="83"/>
      <c r="I1185" s="51">
        <f>2546*0.3</f>
        <v>763.8</v>
      </c>
      <c r="J1185" s="16" t="s">
        <v>3255</v>
      </c>
    </row>
    <row r="1186" ht="30" spans="1:10">
      <c r="A1186" s="10">
        <v>1184</v>
      </c>
      <c r="B1186" s="10" t="s">
        <v>211</v>
      </c>
      <c r="C1186" s="87" t="s">
        <v>3689</v>
      </c>
      <c r="D1186" s="79" t="s">
        <v>3690</v>
      </c>
      <c r="E1186" s="14"/>
      <c r="F1186" s="14"/>
      <c r="G1186" s="88" t="s">
        <v>16</v>
      </c>
      <c r="H1186" s="83"/>
      <c r="I1186" s="47">
        <v>1273</v>
      </c>
      <c r="J1186" s="16" t="s">
        <v>3255</v>
      </c>
    </row>
    <row r="1187" ht="57" spans="1:10">
      <c r="A1187" s="10">
        <v>1185</v>
      </c>
      <c r="B1187" s="10" t="s">
        <v>211</v>
      </c>
      <c r="C1187" s="87" t="s">
        <v>3691</v>
      </c>
      <c r="D1187" s="79" t="s">
        <v>3692</v>
      </c>
      <c r="E1187" s="12" t="s">
        <v>3693</v>
      </c>
      <c r="F1187" s="12" t="s">
        <v>3694</v>
      </c>
      <c r="G1187" s="88" t="s">
        <v>16</v>
      </c>
      <c r="H1187" s="86"/>
      <c r="I1187" s="47">
        <v>2000</v>
      </c>
      <c r="J1187" s="16" t="s">
        <v>3255</v>
      </c>
    </row>
    <row r="1188" ht="30" spans="1:10">
      <c r="A1188" s="10">
        <v>1186</v>
      </c>
      <c r="B1188" s="10" t="s">
        <v>211</v>
      </c>
      <c r="C1188" s="96" t="s">
        <v>3695</v>
      </c>
      <c r="D1188" s="12" t="s">
        <v>3696</v>
      </c>
      <c r="E1188" s="14"/>
      <c r="F1188" s="14"/>
      <c r="G1188" s="88" t="s">
        <v>16</v>
      </c>
      <c r="H1188" s="83"/>
      <c r="I1188" s="51">
        <f>I1187*0.3</f>
        <v>600</v>
      </c>
      <c r="J1188" s="16" t="s">
        <v>3255</v>
      </c>
    </row>
    <row r="1189" ht="30" spans="1:10">
      <c r="A1189" s="10">
        <v>1187</v>
      </c>
      <c r="B1189" s="10" t="s">
        <v>211</v>
      </c>
      <c r="C1189" s="96" t="s">
        <v>3697</v>
      </c>
      <c r="D1189" s="12" t="s">
        <v>3698</v>
      </c>
      <c r="E1189" s="14"/>
      <c r="F1189" s="14"/>
      <c r="G1189" s="88" t="s">
        <v>16</v>
      </c>
      <c r="H1189" s="83"/>
      <c r="I1189" s="47">
        <v>1000</v>
      </c>
      <c r="J1189" s="16" t="s">
        <v>3255</v>
      </c>
    </row>
    <row r="1190" ht="30" spans="1:10">
      <c r="A1190" s="10">
        <v>1188</v>
      </c>
      <c r="B1190" s="10" t="s">
        <v>211</v>
      </c>
      <c r="C1190" s="96" t="s">
        <v>3699</v>
      </c>
      <c r="D1190" s="12" t="s">
        <v>3700</v>
      </c>
      <c r="E1190" s="14"/>
      <c r="F1190" s="14"/>
      <c r="G1190" s="88" t="s">
        <v>16</v>
      </c>
      <c r="H1190" s="83"/>
      <c r="I1190" s="47">
        <v>1000</v>
      </c>
      <c r="J1190" s="16" t="s">
        <v>3255</v>
      </c>
    </row>
    <row r="1191" ht="57" spans="1:10">
      <c r="A1191" s="10">
        <v>1189</v>
      </c>
      <c r="B1191" s="10" t="s">
        <v>211</v>
      </c>
      <c r="C1191" s="96" t="s">
        <v>3701</v>
      </c>
      <c r="D1191" s="12" t="s">
        <v>3702</v>
      </c>
      <c r="E1191" s="12" t="s">
        <v>3703</v>
      </c>
      <c r="F1191" s="12" t="s">
        <v>3606</v>
      </c>
      <c r="G1191" s="13" t="s">
        <v>16</v>
      </c>
      <c r="H1191" s="83"/>
      <c r="I1191" s="47">
        <v>2982</v>
      </c>
      <c r="J1191" s="16" t="s">
        <v>3255</v>
      </c>
    </row>
    <row r="1192" ht="15.75" spans="1:10">
      <c r="A1192" s="10">
        <v>1190</v>
      </c>
      <c r="B1192" s="10" t="s">
        <v>211</v>
      </c>
      <c r="C1192" s="96" t="s">
        <v>3704</v>
      </c>
      <c r="D1192" s="12" t="s">
        <v>3705</v>
      </c>
      <c r="E1192" s="14"/>
      <c r="F1192" s="14"/>
      <c r="G1192" s="13" t="s">
        <v>16</v>
      </c>
      <c r="H1192" s="83"/>
      <c r="I1192" s="51">
        <f>I1191*0.3</f>
        <v>894.6</v>
      </c>
      <c r="J1192" s="16" t="s">
        <v>3255</v>
      </c>
    </row>
    <row r="1193" ht="57" spans="1:10">
      <c r="A1193" s="10">
        <v>1191</v>
      </c>
      <c r="B1193" s="10" t="s">
        <v>211</v>
      </c>
      <c r="C1193" s="96" t="s">
        <v>3706</v>
      </c>
      <c r="D1193" s="12" t="s">
        <v>3707</v>
      </c>
      <c r="E1193" s="12" t="s">
        <v>3708</v>
      </c>
      <c r="F1193" s="12" t="s">
        <v>3709</v>
      </c>
      <c r="G1193" s="13" t="s">
        <v>16</v>
      </c>
      <c r="H1193" s="82" t="s">
        <v>3710</v>
      </c>
      <c r="I1193" s="47">
        <v>2060</v>
      </c>
      <c r="J1193" s="16" t="s">
        <v>3255</v>
      </c>
    </row>
    <row r="1194" ht="30" spans="1:10">
      <c r="A1194" s="10">
        <v>1192</v>
      </c>
      <c r="B1194" s="10" t="s">
        <v>211</v>
      </c>
      <c r="C1194" s="96" t="s">
        <v>3711</v>
      </c>
      <c r="D1194" s="12" t="s">
        <v>3712</v>
      </c>
      <c r="E1194" s="14"/>
      <c r="F1194" s="14"/>
      <c r="G1194" s="13" t="s">
        <v>16</v>
      </c>
      <c r="H1194" s="83"/>
      <c r="I1194" s="51">
        <f>I1193*0.3</f>
        <v>618</v>
      </c>
      <c r="J1194" s="16" t="s">
        <v>3255</v>
      </c>
    </row>
    <row r="1195" ht="57" spans="1:10">
      <c r="A1195" s="10">
        <v>1193</v>
      </c>
      <c r="B1195" s="10" t="s">
        <v>211</v>
      </c>
      <c r="C1195" s="96" t="s">
        <v>3713</v>
      </c>
      <c r="D1195" s="12" t="s">
        <v>3714</v>
      </c>
      <c r="E1195" s="12" t="s">
        <v>3715</v>
      </c>
      <c r="F1195" s="12" t="s">
        <v>3709</v>
      </c>
      <c r="G1195" s="13" t="s">
        <v>16</v>
      </c>
      <c r="H1195" s="82" t="s">
        <v>3716</v>
      </c>
      <c r="I1195" s="47">
        <v>2217.28</v>
      </c>
      <c r="J1195" s="16" t="s">
        <v>3255</v>
      </c>
    </row>
    <row r="1196" ht="30" spans="1:10">
      <c r="A1196" s="10">
        <v>1194</v>
      </c>
      <c r="B1196" s="10" t="s">
        <v>211</v>
      </c>
      <c r="C1196" s="96" t="s">
        <v>3717</v>
      </c>
      <c r="D1196" s="12" t="s">
        <v>3718</v>
      </c>
      <c r="E1196" s="14"/>
      <c r="F1196" s="14"/>
      <c r="G1196" s="13" t="s">
        <v>16</v>
      </c>
      <c r="H1196" s="83"/>
      <c r="I1196" s="51">
        <f>2217*0.3</f>
        <v>665.1</v>
      </c>
      <c r="J1196" s="16" t="s">
        <v>3255</v>
      </c>
    </row>
    <row r="1197" ht="57" spans="1:10">
      <c r="A1197" s="10">
        <v>1195</v>
      </c>
      <c r="B1197" s="10" t="s">
        <v>211</v>
      </c>
      <c r="C1197" s="96" t="s">
        <v>3719</v>
      </c>
      <c r="D1197" s="12" t="s">
        <v>3720</v>
      </c>
      <c r="E1197" s="12" t="s">
        <v>3721</v>
      </c>
      <c r="F1197" s="12" t="s">
        <v>3722</v>
      </c>
      <c r="G1197" s="13" t="s">
        <v>16</v>
      </c>
      <c r="H1197" s="83" t="s">
        <v>3723</v>
      </c>
      <c r="I1197" s="47">
        <v>2545.28</v>
      </c>
      <c r="J1197" s="16" t="s">
        <v>3255</v>
      </c>
    </row>
    <row r="1198" ht="30" spans="1:10">
      <c r="A1198" s="10">
        <v>1196</v>
      </c>
      <c r="B1198" s="10" t="s">
        <v>211</v>
      </c>
      <c r="C1198" s="96" t="s">
        <v>3724</v>
      </c>
      <c r="D1198" s="12" t="s">
        <v>3725</v>
      </c>
      <c r="E1198" s="14"/>
      <c r="F1198" s="14"/>
      <c r="G1198" s="13" t="s">
        <v>16</v>
      </c>
      <c r="H1198" s="83"/>
      <c r="I1198" s="51">
        <f>2545*0.3</f>
        <v>763.5</v>
      </c>
      <c r="J1198" s="16" t="s">
        <v>3255</v>
      </c>
    </row>
    <row r="1199" ht="30" spans="1:10">
      <c r="A1199" s="10">
        <v>1197</v>
      </c>
      <c r="B1199" s="10" t="s">
        <v>211</v>
      </c>
      <c r="C1199" s="96" t="s">
        <v>3726</v>
      </c>
      <c r="D1199" s="12" t="s">
        <v>3727</v>
      </c>
      <c r="E1199" s="14"/>
      <c r="F1199" s="14"/>
      <c r="G1199" s="13" t="s">
        <v>16</v>
      </c>
      <c r="H1199" s="83"/>
      <c r="I1199" s="47">
        <v>763</v>
      </c>
      <c r="J1199" s="16" t="s">
        <v>3255</v>
      </c>
    </row>
    <row r="1200" ht="15.75" spans="1:10">
      <c r="A1200" s="10">
        <v>1198</v>
      </c>
      <c r="B1200" s="10" t="s">
        <v>211</v>
      </c>
      <c r="C1200" s="96" t="s">
        <v>3728</v>
      </c>
      <c r="D1200" s="12" t="s">
        <v>3729</v>
      </c>
      <c r="E1200" s="14"/>
      <c r="F1200" s="14"/>
      <c r="G1200" s="13" t="s">
        <v>16</v>
      </c>
      <c r="H1200" s="83"/>
      <c r="I1200" s="47">
        <v>2545.28</v>
      </c>
      <c r="J1200" s="16" t="s">
        <v>3255</v>
      </c>
    </row>
    <row r="1201" ht="75.75" spans="1:10">
      <c r="A1201" s="10">
        <v>1199</v>
      </c>
      <c r="B1201" s="10" t="s">
        <v>211</v>
      </c>
      <c r="C1201" s="96" t="s">
        <v>3730</v>
      </c>
      <c r="D1201" s="12" t="s">
        <v>3731</v>
      </c>
      <c r="E1201" s="12" t="s">
        <v>3732</v>
      </c>
      <c r="F1201" s="12" t="s">
        <v>3733</v>
      </c>
      <c r="G1201" s="13" t="s">
        <v>16</v>
      </c>
      <c r="H1201" s="83" t="s">
        <v>3734</v>
      </c>
      <c r="I1201" s="47">
        <v>1890</v>
      </c>
      <c r="J1201" s="16" t="s">
        <v>3255</v>
      </c>
    </row>
    <row r="1202" ht="15.75" spans="1:10">
      <c r="A1202" s="10">
        <v>1200</v>
      </c>
      <c r="B1202" s="10" t="s">
        <v>211</v>
      </c>
      <c r="C1202" s="87" t="s">
        <v>3735</v>
      </c>
      <c r="D1202" s="79" t="s">
        <v>3736</v>
      </c>
      <c r="E1202" s="14"/>
      <c r="F1202" s="14"/>
      <c r="G1202" s="13" t="s">
        <v>16</v>
      </c>
      <c r="H1202" s="83"/>
      <c r="I1202" s="51">
        <f t="shared" ref="I1202:I1207" si="0">I1201*0.3</f>
        <v>567</v>
      </c>
      <c r="J1202" s="16" t="s">
        <v>3255</v>
      </c>
    </row>
    <row r="1203" ht="57" spans="1:10">
      <c r="A1203" s="10">
        <v>1201</v>
      </c>
      <c r="B1203" s="10" t="s">
        <v>211</v>
      </c>
      <c r="C1203" s="87" t="s">
        <v>3737</v>
      </c>
      <c r="D1203" s="79" t="s">
        <v>3738</v>
      </c>
      <c r="E1203" s="12" t="s">
        <v>3739</v>
      </c>
      <c r="F1203" s="12" t="s">
        <v>3740</v>
      </c>
      <c r="G1203" s="13" t="s">
        <v>16</v>
      </c>
      <c r="H1203" s="83"/>
      <c r="I1203" s="47">
        <v>1657</v>
      </c>
      <c r="J1203" s="16" t="s">
        <v>3255</v>
      </c>
    </row>
    <row r="1204" ht="15.75" spans="1:10">
      <c r="A1204" s="10">
        <v>1202</v>
      </c>
      <c r="B1204" s="10" t="s">
        <v>211</v>
      </c>
      <c r="C1204" s="96" t="s">
        <v>3741</v>
      </c>
      <c r="D1204" s="12" t="s">
        <v>3742</v>
      </c>
      <c r="E1204" s="14"/>
      <c r="F1204" s="14"/>
      <c r="G1204" s="13" t="s">
        <v>16</v>
      </c>
      <c r="H1204" s="83"/>
      <c r="I1204" s="51">
        <f t="shared" si="0"/>
        <v>497.1</v>
      </c>
      <c r="J1204" s="16" t="s">
        <v>3255</v>
      </c>
    </row>
    <row r="1205" ht="30" spans="1:10">
      <c r="A1205" s="10">
        <v>1203</v>
      </c>
      <c r="B1205" s="10" t="s">
        <v>211</v>
      </c>
      <c r="C1205" s="96" t="s">
        <v>3743</v>
      </c>
      <c r="D1205" s="12" t="s">
        <v>3744</v>
      </c>
      <c r="E1205" s="14"/>
      <c r="F1205" s="14"/>
      <c r="G1205" s="13" t="s">
        <v>16</v>
      </c>
      <c r="H1205" s="83"/>
      <c r="I1205" s="47">
        <v>550</v>
      </c>
      <c r="J1205" s="16" t="s">
        <v>3255</v>
      </c>
    </row>
    <row r="1206" ht="60" spans="1:10">
      <c r="A1206" s="10">
        <v>1204</v>
      </c>
      <c r="B1206" s="10" t="s">
        <v>211</v>
      </c>
      <c r="C1206" s="96" t="s">
        <v>3745</v>
      </c>
      <c r="D1206" s="12" t="s">
        <v>3746</v>
      </c>
      <c r="E1206" s="12" t="s">
        <v>3747</v>
      </c>
      <c r="F1206" s="12" t="s">
        <v>3748</v>
      </c>
      <c r="G1206" s="13" t="s">
        <v>16</v>
      </c>
      <c r="H1206" s="82" t="s">
        <v>3569</v>
      </c>
      <c r="I1206" s="47">
        <v>4521</v>
      </c>
      <c r="J1206" s="16" t="s">
        <v>3255</v>
      </c>
    </row>
    <row r="1207" ht="30" spans="1:10">
      <c r="A1207" s="10">
        <v>1205</v>
      </c>
      <c r="B1207" s="10" t="s">
        <v>211</v>
      </c>
      <c r="C1207" s="96" t="s">
        <v>3749</v>
      </c>
      <c r="D1207" s="12" t="s">
        <v>3750</v>
      </c>
      <c r="E1207" s="14"/>
      <c r="F1207" s="14"/>
      <c r="G1207" s="13" t="s">
        <v>16</v>
      </c>
      <c r="H1207" s="83"/>
      <c r="I1207" s="51">
        <f t="shared" si="0"/>
        <v>1356.3</v>
      </c>
      <c r="J1207" s="16" t="s">
        <v>3255</v>
      </c>
    </row>
    <row r="1208" ht="30" spans="1:10">
      <c r="A1208" s="10">
        <v>1206</v>
      </c>
      <c r="B1208" s="10" t="s">
        <v>211</v>
      </c>
      <c r="C1208" s="96" t="s">
        <v>3751</v>
      </c>
      <c r="D1208" s="12" t="s">
        <v>3752</v>
      </c>
      <c r="E1208" s="14"/>
      <c r="F1208" s="14"/>
      <c r="G1208" s="13" t="s">
        <v>16</v>
      </c>
      <c r="H1208" s="83"/>
      <c r="I1208" s="47">
        <v>1356</v>
      </c>
      <c r="J1208" s="16" t="s">
        <v>3255</v>
      </c>
    </row>
    <row r="1209" ht="60" spans="1:10">
      <c r="A1209" s="10">
        <v>1207</v>
      </c>
      <c r="B1209" s="10" t="s">
        <v>211</v>
      </c>
      <c r="C1209" s="96" t="s">
        <v>3753</v>
      </c>
      <c r="D1209" s="12" t="s">
        <v>3754</v>
      </c>
      <c r="E1209" s="14"/>
      <c r="F1209" s="14"/>
      <c r="G1209" s="13" t="s">
        <v>16</v>
      </c>
      <c r="H1209" s="82" t="s">
        <v>3569</v>
      </c>
      <c r="I1209" s="47">
        <v>2363</v>
      </c>
      <c r="J1209" s="16" t="s">
        <v>3255</v>
      </c>
    </row>
    <row r="1210" ht="30" spans="1:10">
      <c r="A1210" s="10">
        <v>1208</v>
      </c>
      <c r="B1210" s="10" t="s">
        <v>211</v>
      </c>
      <c r="C1210" s="96" t="s">
        <v>3755</v>
      </c>
      <c r="D1210" s="12" t="s">
        <v>3756</v>
      </c>
      <c r="E1210" s="14"/>
      <c r="F1210" s="14"/>
      <c r="G1210" s="13" t="s">
        <v>16</v>
      </c>
      <c r="H1210" s="83"/>
      <c r="I1210" s="47">
        <v>2260</v>
      </c>
      <c r="J1210" s="16" t="s">
        <v>3255</v>
      </c>
    </row>
    <row r="1211" ht="60" spans="1:10">
      <c r="A1211" s="10">
        <v>1209</v>
      </c>
      <c r="B1211" s="10" t="s">
        <v>211</v>
      </c>
      <c r="C1211" s="96" t="s">
        <v>3757</v>
      </c>
      <c r="D1211" s="12" t="s">
        <v>3758</v>
      </c>
      <c r="E1211" s="12" t="s">
        <v>3759</v>
      </c>
      <c r="F1211" s="12" t="s">
        <v>3748</v>
      </c>
      <c r="G1211" s="13" t="s">
        <v>16</v>
      </c>
      <c r="H1211" s="82" t="s">
        <v>3569</v>
      </c>
      <c r="I1211" s="47">
        <v>4874.08</v>
      </c>
      <c r="J1211" s="16" t="s">
        <v>3255</v>
      </c>
    </row>
    <row r="1212" ht="30" spans="1:10">
      <c r="A1212" s="10">
        <v>1210</v>
      </c>
      <c r="B1212" s="10" t="s">
        <v>211</v>
      </c>
      <c r="C1212" s="96" t="s">
        <v>3760</v>
      </c>
      <c r="D1212" s="12" t="s">
        <v>3761</v>
      </c>
      <c r="E1212" s="14"/>
      <c r="F1212" s="14"/>
      <c r="G1212" s="13" t="s">
        <v>16</v>
      </c>
      <c r="H1212" s="83"/>
      <c r="I1212" s="51">
        <f>4874*0.3</f>
        <v>1462.2</v>
      </c>
      <c r="J1212" s="16" t="s">
        <v>3255</v>
      </c>
    </row>
    <row r="1213" ht="60" spans="1:10">
      <c r="A1213" s="10">
        <v>1211</v>
      </c>
      <c r="B1213" s="10" t="s">
        <v>211</v>
      </c>
      <c r="C1213" s="96" t="s">
        <v>3762</v>
      </c>
      <c r="D1213" s="12" t="s">
        <v>3763</v>
      </c>
      <c r="E1213" s="14"/>
      <c r="F1213" s="14"/>
      <c r="G1213" s="13" t="s">
        <v>16</v>
      </c>
      <c r="H1213" s="82" t="s">
        <v>3569</v>
      </c>
      <c r="I1213" s="47">
        <v>2050</v>
      </c>
      <c r="J1213" s="16" t="s">
        <v>3255</v>
      </c>
    </row>
    <row r="1214" ht="57" spans="1:10">
      <c r="A1214" s="10">
        <v>1212</v>
      </c>
      <c r="B1214" s="10" t="s">
        <v>211</v>
      </c>
      <c r="C1214" s="96" t="s">
        <v>3764</v>
      </c>
      <c r="D1214" s="12" t="s">
        <v>3765</v>
      </c>
      <c r="E1214" s="12" t="s">
        <v>3766</v>
      </c>
      <c r="F1214" s="12" t="s">
        <v>3767</v>
      </c>
      <c r="G1214" s="13" t="s">
        <v>16</v>
      </c>
      <c r="H1214" s="83"/>
      <c r="I1214" s="47">
        <v>1487</v>
      </c>
      <c r="J1214" s="16" t="s">
        <v>3255</v>
      </c>
    </row>
    <row r="1215" ht="30" spans="1:10">
      <c r="A1215" s="10">
        <v>1213</v>
      </c>
      <c r="B1215" s="10" t="s">
        <v>211</v>
      </c>
      <c r="C1215" s="96" t="s">
        <v>3768</v>
      </c>
      <c r="D1215" s="12" t="s">
        <v>3769</v>
      </c>
      <c r="E1215" s="14"/>
      <c r="F1215" s="14"/>
      <c r="G1215" s="13" t="s">
        <v>16</v>
      </c>
      <c r="H1215" s="83"/>
      <c r="I1215" s="51">
        <f>I1214*0.3</f>
        <v>446.1</v>
      </c>
      <c r="J1215" s="16" t="s">
        <v>3255</v>
      </c>
    </row>
    <row r="1216" ht="57" spans="1:10">
      <c r="A1216" s="10">
        <v>1214</v>
      </c>
      <c r="B1216" s="10" t="s">
        <v>211</v>
      </c>
      <c r="C1216" s="96" t="s">
        <v>3770</v>
      </c>
      <c r="D1216" s="12" t="s">
        <v>3771</v>
      </c>
      <c r="E1216" s="12" t="s">
        <v>3772</v>
      </c>
      <c r="F1216" s="12" t="s">
        <v>3773</v>
      </c>
      <c r="G1216" s="13" t="s">
        <v>16</v>
      </c>
      <c r="H1216" s="83"/>
      <c r="I1216" s="47">
        <v>1954.88</v>
      </c>
      <c r="J1216" s="16" t="s">
        <v>3255</v>
      </c>
    </row>
    <row r="1217" ht="30" spans="1:10">
      <c r="A1217" s="10">
        <v>1215</v>
      </c>
      <c r="B1217" s="10" t="s">
        <v>211</v>
      </c>
      <c r="C1217" s="96" t="s">
        <v>3774</v>
      </c>
      <c r="D1217" s="12" t="s">
        <v>3775</v>
      </c>
      <c r="E1217" s="14"/>
      <c r="F1217" s="14"/>
      <c r="G1217" s="13" t="s">
        <v>16</v>
      </c>
      <c r="H1217" s="83"/>
      <c r="I1217" s="51">
        <f>1955*0.3</f>
        <v>586.5</v>
      </c>
      <c r="J1217" s="16" t="s">
        <v>3255</v>
      </c>
    </row>
    <row r="1218" ht="30" spans="1:10">
      <c r="A1218" s="10">
        <v>1216</v>
      </c>
      <c r="B1218" s="10" t="s">
        <v>211</v>
      </c>
      <c r="C1218" s="96" t="s">
        <v>3776</v>
      </c>
      <c r="D1218" s="12" t="s">
        <v>3777</v>
      </c>
      <c r="E1218" s="14"/>
      <c r="F1218" s="14"/>
      <c r="G1218" s="13" t="s">
        <v>16</v>
      </c>
      <c r="H1218" s="83"/>
      <c r="I1218" s="47">
        <v>1954.88</v>
      </c>
      <c r="J1218" s="16" t="s">
        <v>3255</v>
      </c>
    </row>
    <row r="1219" ht="42.75" spans="1:10">
      <c r="A1219" s="10">
        <v>1217</v>
      </c>
      <c r="B1219" s="10" t="s">
        <v>211</v>
      </c>
      <c r="C1219" s="96" t="s">
        <v>3778</v>
      </c>
      <c r="D1219" s="12" t="s">
        <v>3779</v>
      </c>
      <c r="E1219" s="12" t="s">
        <v>3780</v>
      </c>
      <c r="F1219" s="12" t="s">
        <v>3781</v>
      </c>
      <c r="G1219" s="13" t="s">
        <v>16</v>
      </c>
      <c r="H1219" s="83"/>
      <c r="I1219" s="47">
        <v>2095</v>
      </c>
      <c r="J1219" s="16" t="s">
        <v>3255</v>
      </c>
    </row>
    <row r="1220" ht="15.75" spans="1:10">
      <c r="A1220" s="10">
        <v>1218</v>
      </c>
      <c r="B1220" s="10" t="s">
        <v>211</v>
      </c>
      <c r="C1220" s="96" t="s">
        <v>3782</v>
      </c>
      <c r="D1220" s="12" t="s">
        <v>3783</v>
      </c>
      <c r="E1220" s="14"/>
      <c r="F1220" s="14"/>
      <c r="G1220" s="13" t="s">
        <v>16</v>
      </c>
      <c r="H1220" s="83"/>
      <c r="I1220" s="51">
        <f>I1219*0.3</f>
        <v>628.5</v>
      </c>
      <c r="J1220" s="16" t="s">
        <v>3255</v>
      </c>
    </row>
    <row r="1221" ht="57" spans="1:10">
      <c r="A1221" s="10">
        <v>1219</v>
      </c>
      <c r="B1221" s="10" t="s">
        <v>211</v>
      </c>
      <c r="C1221" s="96" t="s">
        <v>3784</v>
      </c>
      <c r="D1221" s="12" t="s">
        <v>3785</v>
      </c>
      <c r="E1221" s="12" t="s">
        <v>3786</v>
      </c>
      <c r="F1221" s="12" t="s">
        <v>3787</v>
      </c>
      <c r="G1221" s="13" t="s">
        <v>16</v>
      </c>
      <c r="H1221" s="83"/>
      <c r="I1221" s="47">
        <v>2528.88</v>
      </c>
      <c r="J1221" s="16" t="s">
        <v>3255</v>
      </c>
    </row>
    <row r="1222" ht="30" spans="1:10">
      <c r="A1222" s="10">
        <v>1220</v>
      </c>
      <c r="B1222" s="10" t="s">
        <v>211</v>
      </c>
      <c r="C1222" s="96" t="s">
        <v>3788</v>
      </c>
      <c r="D1222" s="12" t="s">
        <v>3789</v>
      </c>
      <c r="E1222" s="14"/>
      <c r="F1222" s="14"/>
      <c r="G1222" s="13" t="s">
        <v>16</v>
      </c>
      <c r="H1222" s="83"/>
      <c r="I1222" s="51">
        <f>2529*0.3</f>
        <v>758.7</v>
      </c>
      <c r="J1222" s="16" t="s">
        <v>3255</v>
      </c>
    </row>
    <row r="1223" ht="42.75" spans="1:10">
      <c r="A1223" s="10">
        <v>1221</v>
      </c>
      <c r="B1223" s="10" t="s">
        <v>211</v>
      </c>
      <c r="C1223" s="96" t="s">
        <v>3790</v>
      </c>
      <c r="D1223" s="12" t="s">
        <v>3791</v>
      </c>
      <c r="E1223" s="12" t="s">
        <v>3792</v>
      </c>
      <c r="F1223" s="12" t="s">
        <v>3793</v>
      </c>
      <c r="G1223" s="13" t="s">
        <v>16</v>
      </c>
      <c r="H1223" s="83"/>
      <c r="I1223" s="47">
        <v>2060</v>
      </c>
      <c r="J1223" s="16" t="s">
        <v>3255</v>
      </c>
    </row>
    <row r="1224" ht="30" spans="1:10">
      <c r="A1224" s="10">
        <v>1222</v>
      </c>
      <c r="B1224" s="10" t="s">
        <v>211</v>
      </c>
      <c r="C1224" s="96" t="s">
        <v>3794</v>
      </c>
      <c r="D1224" s="12" t="s">
        <v>3795</v>
      </c>
      <c r="E1224" s="14"/>
      <c r="F1224" s="14"/>
      <c r="G1224" s="13" t="s">
        <v>16</v>
      </c>
      <c r="H1224" s="83"/>
      <c r="I1224" s="51">
        <f>I1223*0.3</f>
        <v>618</v>
      </c>
      <c r="J1224" s="16" t="s">
        <v>3255</v>
      </c>
    </row>
    <row r="1225" ht="60" spans="1:10">
      <c r="A1225" s="10">
        <v>1223</v>
      </c>
      <c r="B1225" s="10" t="s">
        <v>211</v>
      </c>
      <c r="C1225" s="96" t="s">
        <v>3796</v>
      </c>
      <c r="D1225" s="12" t="s">
        <v>3797</v>
      </c>
      <c r="E1225" s="12" t="s">
        <v>3798</v>
      </c>
      <c r="F1225" s="12" t="s">
        <v>3793</v>
      </c>
      <c r="G1225" s="13" t="s">
        <v>16</v>
      </c>
      <c r="H1225" s="82" t="s">
        <v>3569</v>
      </c>
      <c r="I1225" s="47">
        <v>3085.66</v>
      </c>
      <c r="J1225" s="16" t="s">
        <v>3255</v>
      </c>
    </row>
    <row r="1226" ht="30" spans="1:10">
      <c r="A1226" s="10">
        <v>1224</v>
      </c>
      <c r="B1226" s="10" t="s">
        <v>211</v>
      </c>
      <c r="C1226" s="96" t="s">
        <v>3799</v>
      </c>
      <c r="D1226" s="12" t="s">
        <v>3800</v>
      </c>
      <c r="E1226" s="14"/>
      <c r="F1226" s="14"/>
      <c r="G1226" s="13" t="s">
        <v>16</v>
      </c>
      <c r="H1226" s="83"/>
      <c r="I1226" s="51">
        <f>3086*0.3</f>
        <v>925.8</v>
      </c>
      <c r="J1226" s="16" t="s">
        <v>3255</v>
      </c>
    </row>
    <row r="1227" ht="45.75" spans="1:10">
      <c r="A1227" s="10">
        <v>1225</v>
      </c>
      <c r="B1227" s="10" t="s">
        <v>211</v>
      </c>
      <c r="C1227" s="96" t="s">
        <v>3801</v>
      </c>
      <c r="D1227" s="12" t="s">
        <v>3802</v>
      </c>
      <c r="E1227" s="14"/>
      <c r="F1227" s="14"/>
      <c r="G1227" s="13" t="s">
        <v>16</v>
      </c>
      <c r="H1227" s="83"/>
      <c r="I1227" s="47">
        <v>1543</v>
      </c>
      <c r="J1227" s="16" t="s">
        <v>3255</v>
      </c>
    </row>
    <row r="1228" ht="60" spans="1:10">
      <c r="A1228" s="10">
        <v>1226</v>
      </c>
      <c r="B1228" s="10" t="s">
        <v>211</v>
      </c>
      <c r="C1228" s="96" t="s">
        <v>3803</v>
      </c>
      <c r="D1228" s="12" t="s">
        <v>3804</v>
      </c>
      <c r="E1228" s="14"/>
      <c r="F1228" s="14"/>
      <c r="G1228" s="13" t="s">
        <v>16</v>
      </c>
      <c r="H1228" s="82" t="s">
        <v>3569</v>
      </c>
      <c r="I1228" s="47">
        <v>2050</v>
      </c>
      <c r="J1228" s="16" t="s">
        <v>3255</v>
      </c>
    </row>
    <row r="1229" ht="60" spans="1:10">
      <c r="A1229" s="10">
        <v>1227</v>
      </c>
      <c r="B1229" s="74" t="s">
        <v>211</v>
      </c>
      <c r="C1229" s="96" t="s">
        <v>3805</v>
      </c>
      <c r="D1229" s="12" t="s">
        <v>3806</v>
      </c>
      <c r="E1229" s="12" t="s">
        <v>3807</v>
      </c>
      <c r="F1229" s="12" t="s">
        <v>3808</v>
      </c>
      <c r="G1229" s="13" t="s">
        <v>16</v>
      </c>
      <c r="H1229" s="82" t="s">
        <v>3569</v>
      </c>
      <c r="I1229" s="47">
        <v>6288.58</v>
      </c>
      <c r="J1229" s="16" t="s">
        <v>3255</v>
      </c>
    </row>
    <row r="1230" ht="30" spans="1:10">
      <c r="A1230" s="10">
        <v>1228</v>
      </c>
      <c r="B1230" s="74" t="s">
        <v>211</v>
      </c>
      <c r="C1230" s="96" t="s">
        <v>3809</v>
      </c>
      <c r="D1230" s="12" t="s">
        <v>3810</v>
      </c>
      <c r="E1230" s="14"/>
      <c r="F1230" s="14"/>
      <c r="G1230" s="13" t="s">
        <v>16</v>
      </c>
      <c r="H1230" s="83"/>
      <c r="I1230" s="51">
        <f>6289*0.3</f>
        <v>1886.7</v>
      </c>
      <c r="J1230" s="16" t="s">
        <v>3255</v>
      </c>
    </row>
    <row r="1231" ht="60" spans="1:10">
      <c r="A1231" s="10">
        <v>1229</v>
      </c>
      <c r="B1231" s="74" t="s">
        <v>211</v>
      </c>
      <c r="C1231" s="96" t="s">
        <v>3811</v>
      </c>
      <c r="D1231" s="12" t="s">
        <v>3812</v>
      </c>
      <c r="E1231" s="14"/>
      <c r="F1231" s="14"/>
      <c r="G1231" s="13" t="s">
        <v>16</v>
      </c>
      <c r="H1231" s="82" t="s">
        <v>3569</v>
      </c>
      <c r="I1231" s="47">
        <v>2050</v>
      </c>
      <c r="J1231" s="16" t="s">
        <v>3255</v>
      </c>
    </row>
    <row r="1232" ht="57" spans="1:10">
      <c r="A1232" s="10">
        <v>1230</v>
      </c>
      <c r="B1232" s="10" t="s">
        <v>211</v>
      </c>
      <c r="C1232" s="96" t="s">
        <v>3813</v>
      </c>
      <c r="D1232" s="12" t="s">
        <v>3814</v>
      </c>
      <c r="E1232" s="12" t="s">
        <v>3815</v>
      </c>
      <c r="F1232" s="12" t="s">
        <v>3816</v>
      </c>
      <c r="G1232" s="13" t="s">
        <v>16</v>
      </c>
      <c r="H1232" s="83"/>
      <c r="I1232" s="47">
        <v>7669</v>
      </c>
      <c r="J1232" s="16" t="s">
        <v>3255</v>
      </c>
    </row>
    <row r="1233" ht="30" spans="1:10">
      <c r="A1233" s="10">
        <v>1231</v>
      </c>
      <c r="B1233" s="10" t="s">
        <v>211</v>
      </c>
      <c r="C1233" s="96" t="s">
        <v>3817</v>
      </c>
      <c r="D1233" s="12" t="s">
        <v>3818</v>
      </c>
      <c r="E1233" s="14"/>
      <c r="F1233" s="14"/>
      <c r="G1233" s="13" t="s">
        <v>16</v>
      </c>
      <c r="H1233" s="83"/>
      <c r="I1233" s="51">
        <f>I1232*0.3</f>
        <v>2300.7</v>
      </c>
      <c r="J1233" s="16" t="s">
        <v>3255</v>
      </c>
    </row>
    <row r="1234" ht="44.25" spans="1:10">
      <c r="A1234" s="10">
        <v>1232</v>
      </c>
      <c r="B1234" s="10" t="s">
        <v>211</v>
      </c>
      <c r="C1234" s="96" t="s">
        <v>3819</v>
      </c>
      <c r="D1234" s="12" t="s">
        <v>3820</v>
      </c>
      <c r="E1234" s="14"/>
      <c r="F1234" s="14"/>
      <c r="G1234" s="13" t="s">
        <v>16</v>
      </c>
      <c r="H1234" s="83"/>
      <c r="I1234" s="47">
        <v>767</v>
      </c>
      <c r="J1234" s="16" t="s">
        <v>3255</v>
      </c>
    </row>
    <row r="1235" ht="44.25" spans="1:10">
      <c r="A1235" s="10">
        <v>1233</v>
      </c>
      <c r="B1235" s="10" t="s">
        <v>211</v>
      </c>
      <c r="C1235" s="96" t="s">
        <v>3821</v>
      </c>
      <c r="D1235" s="12" t="s">
        <v>3822</v>
      </c>
      <c r="E1235" s="14"/>
      <c r="F1235" s="14"/>
      <c r="G1235" s="13" t="s">
        <v>16</v>
      </c>
      <c r="H1235" s="83"/>
      <c r="I1235" s="47">
        <v>1150</v>
      </c>
      <c r="J1235" s="16" t="s">
        <v>3255</v>
      </c>
    </row>
    <row r="1236" ht="44.25" spans="1:10">
      <c r="A1236" s="10">
        <v>1234</v>
      </c>
      <c r="B1236" s="10" t="s">
        <v>211</v>
      </c>
      <c r="C1236" s="96" t="s">
        <v>3823</v>
      </c>
      <c r="D1236" s="12" t="s">
        <v>3824</v>
      </c>
      <c r="E1236" s="14"/>
      <c r="F1236" s="14"/>
      <c r="G1236" s="13" t="s">
        <v>16</v>
      </c>
      <c r="H1236" s="83"/>
      <c r="I1236" s="47">
        <v>1534</v>
      </c>
      <c r="J1236" s="16" t="s">
        <v>3255</v>
      </c>
    </row>
    <row r="1237" ht="42.75" spans="1:10">
      <c r="A1237" s="10">
        <v>1235</v>
      </c>
      <c r="B1237" s="10" t="s">
        <v>211</v>
      </c>
      <c r="C1237" s="96" t="s">
        <v>3825</v>
      </c>
      <c r="D1237" s="12" t="s">
        <v>3826</v>
      </c>
      <c r="E1237" s="12" t="s">
        <v>3827</v>
      </c>
      <c r="F1237" s="12" t="s">
        <v>3828</v>
      </c>
      <c r="G1237" s="13" t="s">
        <v>16</v>
      </c>
      <c r="H1237" s="83"/>
      <c r="I1237" s="47">
        <v>3280</v>
      </c>
      <c r="J1237" s="16" t="s">
        <v>3255</v>
      </c>
    </row>
    <row r="1238" ht="30" spans="1:10">
      <c r="A1238" s="10">
        <v>1236</v>
      </c>
      <c r="B1238" s="10" t="s">
        <v>211</v>
      </c>
      <c r="C1238" s="96" t="s">
        <v>3829</v>
      </c>
      <c r="D1238" s="12" t="s">
        <v>3830</v>
      </c>
      <c r="E1238" s="14"/>
      <c r="F1238" s="14"/>
      <c r="G1238" s="13" t="s">
        <v>16</v>
      </c>
      <c r="H1238" s="83"/>
      <c r="I1238" s="51">
        <f>I1237*0.3</f>
        <v>984</v>
      </c>
      <c r="J1238" s="16" t="s">
        <v>3255</v>
      </c>
    </row>
    <row r="1239" ht="57" spans="1:10">
      <c r="A1239" s="10">
        <v>1237</v>
      </c>
      <c r="B1239" s="10" t="s">
        <v>211</v>
      </c>
      <c r="C1239" s="96" t="s">
        <v>3831</v>
      </c>
      <c r="D1239" s="12" t="s">
        <v>3832</v>
      </c>
      <c r="E1239" s="12" t="s">
        <v>3833</v>
      </c>
      <c r="F1239" s="12" t="s">
        <v>3834</v>
      </c>
      <c r="G1239" s="13" t="s">
        <v>16</v>
      </c>
      <c r="H1239" s="83"/>
      <c r="I1239" s="47">
        <v>2933.14</v>
      </c>
      <c r="J1239" s="16" t="s">
        <v>3255</v>
      </c>
    </row>
    <row r="1240" ht="30" spans="1:10">
      <c r="A1240" s="10">
        <v>1238</v>
      </c>
      <c r="B1240" s="10" t="s">
        <v>211</v>
      </c>
      <c r="C1240" s="96" t="s">
        <v>3835</v>
      </c>
      <c r="D1240" s="12" t="s">
        <v>3836</v>
      </c>
      <c r="E1240" s="14"/>
      <c r="F1240" s="14"/>
      <c r="G1240" s="13" t="s">
        <v>16</v>
      </c>
      <c r="H1240" s="83"/>
      <c r="I1240" s="51">
        <f>2933*0.3</f>
        <v>879.9</v>
      </c>
      <c r="J1240" s="16" t="s">
        <v>3255</v>
      </c>
    </row>
    <row r="1241" ht="42.75" spans="1:10">
      <c r="A1241" s="10">
        <v>1239</v>
      </c>
      <c r="B1241" s="10" t="s">
        <v>211</v>
      </c>
      <c r="C1241" s="96" t="s">
        <v>3837</v>
      </c>
      <c r="D1241" s="12" t="s">
        <v>3838</v>
      </c>
      <c r="E1241" s="12" t="s">
        <v>3839</v>
      </c>
      <c r="F1241" s="12" t="s">
        <v>3840</v>
      </c>
      <c r="G1241" s="13" t="s">
        <v>16</v>
      </c>
      <c r="H1241" s="83"/>
      <c r="I1241" s="47">
        <v>2078.7</v>
      </c>
      <c r="J1241" s="16" t="s">
        <v>3255</v>
      </c>
    </row>
    <row r="1242" ht="30" spans="1:10">
      <c r="A1242" s="10">
        <v>1240</v>
      </c>
      <c r="B1242" s="10" t="s">
        <v>211</v>
      </c>
      <c r="C1242" s="96" t="s">
        <v>3841</v>
      </c>
      <c r="D1242" s="12" t="s">
        <v>3842</v>
      </c>
      <c r="E1242" s="14"/>
      <c r="F1242" s="14"/>
      <c r="G1242" s="13" t="s">
        <v>16</v>
      </c>
      <c r="H1242" s="83"/>
      <c r="I1242" s="51">
        <f>2079*0.3</f>
        <v>623.7</v>
      </c>
      <c r="J1242" s="16" t="s">
        <v>3255</v>
      </c>
    </row>
    <row r="1243" ht="58.5" spans="1:10">
      <c r="A1243" s="10">
        <v>1241</v>
      </c>
      <c r="B1243" s="10" t="s">
        <v>211</v>
      </c>
      <c r="C1243" s="96" t="s">
        <v>3843</v>
      </c>
      <c r="D1243" s="12" t="s">
        <v>3844</v>
      </c>
      <c r="E1243" s="12" t="s">
        <v>3845</v>
      </c>
      <c r="F1243" s="12" t="s">
        <v>3846</v>
      </c>
      <c r="G1243" s="13" t="s">
        <v>16</v>
      </c>
      <c r="H1243" s="83"/>
      <c r="I1243" s="47">
        <v>2277.96</v>
      </c>
      <c r="J1243" s="16" t="s">
        <v>3255</v>
      </c>
    </row>
    <row r="1244" ht="30" spans="1:10">
      <c r="A1244" s="10">
        <v>1242</v>
      </c>
      <c r="B1244" s="10" t="s">
        <v>211</v>
      </c>
      <c r="C1244" s="96" t="s">
        <v>3847</v>
      </c>
      <c r="D1244" s="12" t="s">
        <v>3848</v>
      </c>
      <c r="E1244" s="14"/>
      <c r="F1244" s="14"/>
      <c r="G1244" s="13" t="s">
        <v>16</v>
      </c>
      <c r="H1244" s="83"/>
      <c r="I1244" s="51">
        <f>2278*0.3</f>
        <v>683.4</v>
      </c>
      <c r="J1244" s="16" t="s">
        <v>3255</v>
      </c>
    </row>
    <row r="1245" ht="30" spans="1:10">
      <c r="A1245" s="10">
        <v>1243</v>
      </c>
      <c r="B1245" s="10" t="s">
        <v>211</v>
      </c>
      <c r="C1245" s="96" t="s">
        <v>3849</v>
      </c>
      <c r="D1245" s="12" t="s">
        <v>3850</v>
      </c>
      <c r="E1245" s="14"/>
      <c r="F1245" s="14"/>
      <c r="G1245" s="13" t="s">
        <v>16</v>
      </c>
      <c r="H1245" s="83"/>
      <c r="I1245" s="47">
        <v>2277.96</v>
      </c>
      <c r="J1245" s="16" t="s">
        <v>3255</v>
      </c>
    </row>
    <row r="1246" ht="57" spans="1:10">
      <c r="A1246" s="10">
        <v>1244</v>
      </c>
      <c r="B1246" s="10" t="s">
        <v>211</v>
      </c>
      <c r="C1246" s="96" t="s">
        <v>3851</v>
      </c>
      <c r="D1246" s="12" t="s">
        <v>3852</v>
      </c>
      <c r="E1246" s="12" t="s">
        <v>3853</v>
      </c>
      <c r="F1246" s="12" t="s">
        <v>3854</v>
      </c>
      <c r="G1246" s="13" t="s">
        <v>16</v>
      </c>
      <c r="H1246" s="83"/>
      <c r="I1246" s="47">
        <v>3603.08</v>
      </c>
      <c r="J1246" s="16" t="s">
        <v>3255</v>
      </c>
    </row>
    <row r="1247" ht="30" spans="1:10">
      <c r="A1247" s="10">
        <v>1245</v>
      </c>
      <c r="B1247" s="10" t="s">
        <v>211</v>
      </c>
      <c r="C1247" s="96" t="s">
        <v>3855</v>
      </c>
      <c r="D1247" s="12" t="s">
        <v>3856</v>
      </c>
      <c r="E1247" s="14"/>
      <c r="F1247" s="14"/>
      <c r="G1247" s="13" t="s">
        <v>16</v>
      </c>
      <c r="H1247" s="83"/>
      <c r="I1247" s="51">
        <f>3603*0.3</f>
        <v>1080.9</v>
      </c>
      <c r="J1247" s="16" t="s">
        <v>3255</v>
      </c>
    </row>
    <row r="1248" ht="42.75" spans="1:10">
      <c r="A1248" s="10">
        <v>1246</v>
      </c>
      <c r="B1248" s="10" t="s">
        <v>211</v>
      </c>
      <c r="C1248" s="96" t="s">
        <v>3857</v>
      </c>
      <c r="D1248" s="12" t="s">
        <v>3858</v>
      </c>
      <c r="E1248" s="12" t="s">
        <v>3859</v>
      </c>
      <c r="F1248" s="12" t="s">
        <v>3860</v>
      </c>
      <c r="G1248" s="13" t="s">
        <v>16</v>
      </c>
      <c r="H1248" s="83"/>
      <c r="I1248" s="47">
        <v>2197</v>
      </c>
      <c r="J1248" s="16" t="s">
        <v>3255</v>
      </c>
    </row>
    <row r="1249" ht="30" spans="1:10">
      <c r="A1249" s="10">
        <v>1247</v>
      </c>
      <c r="B1249" s="10" t="s">
        <v>211</v>
      </c>
      <c r="C1249" s="96" t="s">
        <v>3861</v>
      </c>
      <c r="D1249" s="12" t="s">
        <v>3862</v>
      </c>
      <c r="E1249" s="14"/>
      <c r="F1249" s="14"/>
      <c r="G1249" s="13" t="s">
        <v>16</v>
      </c>
      <c r="H1249" s="83"/>
      <c r="I1249" s="51">
        <f>I1248*0.3</f>
        <v>659.1</v>
      </c>
      <c r="J1249" s="16" t="s">
        <v>3255</v>
      </c>
    </row>
    <row r="1250" ht="57" spans="1:10">
      <c r="A1250" s="10">
        <v>1248</v>
      </c>
      <c r="B1250" s="10" t="s">
        <v>211</v>
      </c>
      <c r="C1250" s="96" t="s">
        <v>3863</v>
      </c>
      <c r="D1250" s="12" t="s">
        <v>3864</v>
      </c>
      <c r="E1250" s="12" t="s">
        <v>3865</v>
      </c>
      <c r="F1250" s="12" t="s">
        <v>3866</v>
      </c>
      <c r="G1250" s="13" t="s">
        <v>16</v>
      </c>
      <c r="H1250" s="83"/>
      <c r="I1250" s="47">
        <v>4988.88</v>
      </c>
      <c r="J1250" s="16" t="s">
        <v>3255</v>
      </c>
    </row>
    <row r="1251" ht="30" spans="1:10">
      <c r="A1251" s="10">
        <v>1249</v>
      </c>
      <c r="B1251" s="10" t="s">
        <v>211</v>
      </c>
      <c r="C1251" s="96" t="s">
        <v>3867</v>
      </c>
      <c r="D1251" s="12" t="s">
        <v>3868</v>
      </c>
      <c r="E1251" s="14"/>
      <c r="F1251" s="14"/>
      <c r="G1251" s="13" t="s">
        <v>16</v>
      </c>
      <c r="H1251" s="83"/>
      <c r="I1251" s="51">
        <f>4989*0.3</f>
        <v>1496.7</v>
      </c>
      <c r="J1251" s="16" t="s">
        <v>3255</v>
      </c>
    </row>
    <row r="1252" ht="42.75" spans="1:10">
      <c r="A1252" s="10">
        <v>1250</v>
      </c>
      <c r="B1252" s="10" t="s">
        <v>211</v>
      </c>
      <c r="C1252" s="96" t="s">
        <v>3869</v>
      </c>
      <c r="D1252" s="12" t="s">
        <v>3870</v>
      </c>
      <c r="E1252" s="12" t="s">
        <v>3871</v>
      </c>
      <c r="F1252" s="12" t="s">
        <v>3872</v>
      </c>
      <c r="G1252" s="13" t="s">
        <v>16</v>
      </c>
      <c r="H1252" s="83"/>
      <c r="I1252" s="47">
        <v>2036.88</v>
      </c>
      <c r="J1252" s="16" t="s">
        <v>3255</v>
      </c>
    </row>
    <row r="1253" ht="30" spans="1:10">
      <c r="A1253" s="10">
        <v>1251</v>
      </c>
      <c r="B1253" s="10" t="s">
        <v>211</v>
      </c>
      <c r="C1253" s="96" t="s">
        <v>3873</v>
      </c>
      <c r="D1253" s="12" t="s">
        <v>3874</v>
      </c>
      <c r="E1253" s="14"/>
      <c r="F1253" s="14"/>
      <c r="G1253" s="13" t="s">
        <v>16</v>
      </c>
      <c r="H1253" s="83"/>
      <c r="I1253" s="51">
        <f>2037*0.3</f>
        <v>611.1</v>
      </c>
      <c r="J1253" s="16" t="s">
        <v>3255</v>
      </c>
    </row>
    <row r="1254" ht="42.75" spans="1:10">
      <c r="A1254" s="10">
        <v>1252</v>
      </c>
      <c r="B1254" s="10" t="s">
        <v>211</v>
      </c>
      <c r="C1254" s="96" t="s">
        <v>3875</v>
      </c>
      <c r="D1254" s="12" t="s">
        <v>3876</v>
      </c>
      <c r="E1254" s="12" t="s">
        <v>3877</v>
      </c>
      <c r="F1254" s="12" t="s">
        <v>3828</v>
      </c>
      <c r="G1254" s="13" t="s">
        <v>16</v>
      </c>
      <c r="H1254" s="83"/>
      <c r="I1254" s="47">
        <v>2896</v>
      </c>
      <c r="J1254" s="16" t="s">
        <v>3255</v>
      </c>
    </row>
    <row r="1255" ht="30" spans="1:10">
      <c r="A1255" s="10">
        <v>1253</v>
      </c>
      <c r="B1255" s="10" t="s">
        <v>211</v>
      </c>
      <c r="C1255" s="96" t="s">
        <v>3878</v>
      </c>
      <c r="D1255" s="12" t="s">
        <v>3879</v>
      </c>
      <c r="E1255" s="14"/>
      <c r="F1255" s="14"/>
      <c r="G1255" s="13" t="s">
        <v>16</v>
      </c>
      <c r="H1255" s="83"/>
      <c r="I1255" s="51">
        <f>I1254*0.3</f>
        <v>868.8</v>
      </c>
      <c r="J1255" s="16" t="s">
        <v>3255</v>
      </c>
    </row>
    <row r="1256" ht="42.75" spans="1:10">
      <c r="A1256" s="10">
        <v>1254</v>
      </c>
      <c r="B1256" s="10" t="s">
        <v>211</v>
      </c>
      <c r="C1256" s="96" t="s">
        <v>3880</v>
      </c>
      <c r="D1256" s="12" t="s">
        <v>3881</v>
      </c>
      <c r="E1256" s="12" t="s">
        <v>3882</v>
      </c>
      <c r="F1256" s="12" t="s">
        <v>3883</v>
      </c>
      <c r="G1256" s="13" t="s">
        <v>16</v>
      </c>
      <c r="H1256" s="83"/>
      <c r="I1256" s="47">
        <v>25.0028717065116</v>
      </c>
      <c r="J1256" s="16" t="s">
        <v>3255</v>
      </c>
    </row>
    <row r="1257" ht="30" spans="1:10">
      <c r="A1257" s="10">
        <v>1255</v>
      </c>
      <c r="B1257" s="10" t="s">
        <v>211</v>
      </c>
      <c r="C1257" s="96" t="s">
        <v>3884</v>
      </c>
      <c r="D1257" s="12" t="s">
        <v>3885</v>
      </c>
      <c r="E1257" s="14"/>
      <c r="F1257" s="14"/>
      <c r="G1257" s="13" t="s">
        <v>16</v>
      </c>
      <c r="H1257" s="83"/>
      <c r="I1257" s="51">
        <f>I1256*0.3</f>
        <v>7.50086151195348</v>
      </c>
      <c r="J1257" s="16" t="s">
        <v>3255</v>
      </c>
    </row>
    <row r="1258" ht="28.5" spans="1:10">
      <c r="A1258" s="10">
        <v>1256</v>
      </c>
      <c r="B1258" s="10" t="s">
        <v>211</v>
      </c>
      <c r="C1258" s="96" t="s">
        <v>3886</v>
      </c>
      <c r="D1258" s="12" t="s">
        <v>3887</v>
      </c>
      <c r="E1258" s="12" t="s">
        <v>3888</v>
      </c>
      <c r="F1258" s="12" t="s">
        <v>3889</v>
      </c>
      <c r="G1258" s="13" t="s">
        <v>16</v>
      </c>
      <c r="H1258" s="83"/>
      <c r="I1258" s="47">
        <v>8.2</v>
      </c>
      <c r="J1258" s="16" t="s">
        <v>3255</v>
      </c>
    </row>
    <row r="1259" ht="15.75" spans="1:10">
      <c r="A1259" s="10">
        <v>1257</v>
      </c>
      <c r="B1259" s="10" t="s">
        <v>211</v>
      </c>
      <c r="C1259" s="96" t="s">
        <v>3890</v>
      </c>
      <c r="D1259" s="12" t="s">
        <v>3891</v>
      </c>
      <c r="E1259" s="14"/>
      <c r="F1259" s="14"/>
      <c r="G1259" s="13" t="s">
        <v>16</v>
      </c>
      <c r="H1259" s="83"/>
      <c r="I1259" s="51">
        <f>8*0.3</f>
        <v>2.4</v>
      </c>
      <c r="J1259" s="16" t="s">
        <v>3255</v>
      </c>
    </row>
    <row r="1260" ht="28.5" spans="1:10">
      <c r="A1260" s="10">
        <v>1258</v>
      </c>
      <c r="B1260" s="10" t="s">
        <v>211</v>
      </c>
      <c r="C1260" s="96" t="s">
        <v>3892</v>
      </c>
      <c r="D1260" s="12" t="s">
        <v>3893</v>
      </c>
      <c r="E1260" s="12" t="s">
        <v>3894</v>
      </c>
      <c r="F1260" s="12" t="s">
        <v>3895</v>
      </c>
      <c r="G1260" s="13" t="s">
        <v>16</v>
      </c>
      <c r="H1260" s="83"/>
      <c r="I1260" s="47">
        <v>65.6</v>
      </c>
      <c r="J1260" s="16" t="s">
        <v>3255</v>
      </c>
    </row>
    <row r="1261" ht="15.75" spans="1:10">
      <c r="A1261" s="10">
        <v>1259</v>
      </c>
      <c r="B1261" s="10" t="s">
        <v>211</v>
      </c>
      <c r="C1261" s="96" t="s">
        <v>3896</v>
      </c>
      <c r="D1261" s="12" t="s">
        <v>3897</v>
      </c>
      <c r="E1261" s="14"/>
      <c r="F1261" s="14"/>
      <c r="G1261" s="13" t="s">
        <v>16</v>
      </c>
      <c r="H1261" s="83"/>
      <c r="I1261" s="51">
        <f>66*0.3</f>
        <v>19.8</v>
      </c>
      <c r="J1261" s="16" t="s">
        <v>3255</v>
      </c>
    </row>
    <row r="1262" ht="42.75" spans="1:10">
      <c r="A1262" s="10">
        <v>1260</v>
      </c>
      <c r="B1262" s="10" t="s">
        <v>211</v>
      </c>
      <c r="C1262" s="96" t="s">
        <v>3898</v>
      </c>
      <c r="D1262" s="12" t="s">
        <v>3899</v>
      </c>
      <c r="E1262" s="12" t="s">
        <v>3900</v>
      </c>
      <c r="F1262" s="12" t="s">
        <v>3901</v>
      </c>
      <c r="G1262" s="13" t="s">
        <v>16</v>
      </c>
      <c r="H1262" s="83"/>
      <c r="I1262" s="47">
        <v>784.74</v>
      </c>
      <c r="J1262" s="16" t="s">
        <v>3255</v>
      </c>
    </row>
    <row r="1263" ht="30" spans="1:10">
      <c r="A1263" s="10">
        <v>1261</v>
      </c>
      <c r="B1263" s="10" t="s">
        <v>211</v>
      </c>
      <c r="C1263" s="96" t="s">
        <v>3902</v>
      </c>
      <c r="D1263" s="12" t="s">
        <v>3903</v>
      </c>
      <c r="E1263" s="14"/>
      <c r="F1263" s="14"/>
      <c r="G1263" s="13" t="s">
        <v>16</v>
      </c>
      <c r="H1263" s="83"/>
      <c r="I1263" s="51">
        <f>785*0.3</f>
        <v>235.5</v>
      </c>
      <c r="J1263" s="16" t="s">
        <v>3255</v>
      </c>
    </row>
    <row r="1264" ht="42.75" spans="1:10">
      <c r="A1264" s="10">
        <v>1262</v>
      </c>
      <c r="B1264" s="10" t="s">
        <v>211</v>
      </c>
      <c r="C1264" s="96" t="s">
        <v>3904</v>
      </c>
      <c r="D1264" s="12" t="s">
        <v>3905</v>
      </c>
      <c r="E1264" s="12" t="s">
        <v>3906</v>
      </c>
      <c r="F1264" s="12" t="s">
        <v>3907</v>
      </c>
      <c r="G1264" s="13" t="s">
        <v>16</v>
      </c>
      <c r="H1264" s="82" t="s">
        <v>3908</v>
      </c>
      <c r="I1264" s="47">
        <v>1013.52</v>
      </c>
      <c r="J1264" s="16" t="s">
        <v>3255</v>
      </c>
    </row>
    <row r="1265" ht="15.75" spans="1:10">
      <c r="A1265" s="10">
        <v>1263</v>
      </c>
      <c r="B1265" s="10" t="s">
        <v>211</v>
      </c>
      <c r="C1265" s="96" t="s">
        <v>3909</v>
      </c>
      <c r="D1265" s="12" t="s">
        <v>3910</v>
      </c>
      <c r="E1265" s="14"/>
      <c r="F1265" s="14"/>
      <c r="G1265" s="13" t="s">
        <v>16</v>
      </c>
      <c r="H1265" s="83"/>
      <c r="I1265" s="51">
        <f>1014*0.3</f>
        <v>304.2</v>
      </c>
      <c r="J1265" s="16" t="s">
        <v>3255</v>
      </c>
    </row>
    <row r="1266" ht="30" spans="1:10">
      <c r="A1266" s="10">
        <v>1264</v>
      </c>
      <c r="B1266" s="10" t="s">
        <v>211</v>
      </c>
      <c r="C1266" s="96" t="s">
        <v>3911</v>
      </c>
      <c r="D1266" s="12" t="s">
        <v>3912</v>
      </c>
      <c r="E1266" s="14"/>
      <c r="F1266" s="14"/>
      <c r="G1266" s="13" t="s">
        <v>16</v>
      </c>
      <c r="H1266" s="83"/>
      <c r="I1266" s="47">
        <v>304</v>
      </c>
      <c r="J1266" s="16" t="s">
        <v>3255</v>
      </c>
    </row>
    <row r="1267" ht="42.75" spans="1:10">
      <c r="A1267" s="10">
        <v>1265</v>
      </c>
      <c r="B1267" s="10" t="s">
        <v>211</v>
      </c>
      <c r="C1267" s="96" t="s">
        <v>3913</v>
      </c>
      <c r="D1267" s="12" t="s">
        <v>3914</v>
      </c>
      <c r="E1267" s="12" t="s">
        <v>3915</v>
      </c>
      <c r="F1267" s="12" t="s">
        <v>3916</v>
      </c>
      <c r="G1267" s="13" t="s">
        <v>16</v>
      </c>
      <c r="H1267" s="82" t="s">
        <v>3908</v>
      </c>
      <c r="I1267" s="47">
        <v>1441.56</v>
      </c>
      <c r="J1267" s="16" t="s">
        <v>3255</v>
      </c>
    </row>
    <row r="1268" ht="30" spans="1:10">
      <c r="A1268" s="10">
        <v>1266</v>
      </c>
      <c r="B1268" s="10" t="s">
        <v>211</v>
      </c>
      <c r="C1268" s="96" t="s">
        <v>3917</v>
      </c>
      <c r="D1268" s="12" t="s">
        <v>3918</v>
      </c>
      <c r="E1268" s="14"/>
      <c r="F1268" s="14"/>
      <c r="G1268" s="13" t="s">
        <v>16</v>
      </c>
      <c r="H1268" s="83"/>
      <c r="I1268" s="51">
        <f>1442*0.3</f>
        <v>432.6</v>
      </c>
      <c r="J1268" s="16" t="s">
        <v>3255</v>
      </c>
    </row>
    <row r="1269" ht="42.75" spans="1:10">
      <c r="A1269" s="10">
        <v>1267</v>
      </c>
      <c r="B1269" s="10" t="s">
        <v>211</v>
      </c>
      <c r="C1269" s="96" t="s">
        <v>3919</v>
      </c>
      <c r="D1269" s="12" t="s">
        <v>3920</v>
      </c>
      <c r="E1269" s="12" t="s">
        <v>3921</v>
      </c>
      <c r="F1269" s="12" t="s">
        <v>3922</v>
      </c>
      <c r="G1269" s="13" t="s">
        <v>3923</v>
      </c>
      <c r="H1269" s="83"/>
      <c r="I1269" s="47">
        <v>72.16</v>
      </c>
      <c r="J1269" s="16" t="s">
        <v>3255</v>
      </c>
    </row>
    <row r="1270" ht="30" spans="1:10">
      <c r="A1270" s="10">
        <v>1268</v>
      </c>
      <c r="B1270" s="10" t="s">
        <v>211</v>
      </c>
      <c r="C1270" s="96" t="s">
        <v>3924</v>
      </c>
      <c r="D1270" s="12" t="s">
        <v>3925</v>
      </c>
      <c r="E1270" s="14"/>
      <c r="F1270" s="14"/>
      <c r="G1270" s="13" t="s">
        <v>3923</v>
      </c>
      <c r="H1270" s="83"/>
      <c r="I1270" s="51">
        <f>72*0.3</f>
        <v>21.6</v>
      </c>
      <c r="J1270" s="16" t="s">
        <v>3255</v>
      </c>
    </row>
    <row r="1271" ht="42.75" spans="1:10">
      <c r="A1271" s="10">
        <v>1269</v>
      </c>
      <c r="B1271" s="10" t="s">
        <v>211</v>
      </c>
      <c r="C1271" s="96" t="s">
        <v>3926</v>
      </c>
      <c r="D1271" s="12" t="s">
        <v>3927</v>
      </c>
      <c r="E1271" s="12" t="s">
        <v>3928</v>
      </c>
      <c r="F1271" s="12" t="s">
        <v>3922</v>
      </c>
      <c r="G1271" s="13" t="s">
        <v>16</v>
      </c>
      <c r="H1271" s="83"/>
      <c r="I1271" s="47">
        <v>324.72</v>
      </c>
      <c r="J1271" s="16" t="s">
        <v>3255</v>
      </c>
    </row>
    <row r="1272" ht="30" spans="1:10">
      <c r="A1272" s="10">
        <v>1270</v>
      </c>
      <c r="B1272" s="10" t="s">
        <v>211</v>
      </c>
      <c r="C1272" s="96" t="s">
        <v>3929</v>
      </c>
      <c r="D1272" s="12" t="s">
        <v>3930</v>
      </c>
      <c r="E1272" s="14"/>
      <c r="F1272" s="14"/>
      <c r="G1272" s="13" t="s">
        <v>16</v>
      </c>
      <c r="H1272" s="83"/>
      <c r="I1272" s="51">
        <f>325*0.3</f>
        <v>97.5</v>
      </c>
      <c r="J1272" s="16" t="s">
        <v>3255</v>
      </c>
    </row>
    <row r="1273" ht="42.75" spans="1:10">
      <c r="A1273" s="10">
        <v>1271</v>
      </c>
      <c r="B1273" s="10" t="s">
        <v>211</v>
      </c>
      <c r="C1273" s="96" t="s">
        <v>3931</v>
      </c>
      <c r="D1273" s="12" t="s">
        <v>3932</v>
      </c>
      <c r="E1273" s="12" t="s">
        <v>3933</v>
      </c>
      <c r="F1273" s="12" t="s">
        <v>3934</v>
      </c>
      <c r="G1273" s="13" t="s">
        <v>16</v>
      </c>
      <c r="H1273" s="83"/>
      <c r="I1273" s="47">
        <v>72.16</v>
      </c>
      <c r="J1273" s="16" t="s">
        <v>3255</v>
      </c>
    </row>
    <row r="1274" ht="30" spans="1:10">
      <c r="A1274" s="10">
        <v>1272</v>
      </c>
      <c r="B1274" s="10" t="s">
        <v>211</v>
      </c>
      <c r="C1274" s="96" t="s">
        <v>3935</v>
      </c>
      <c r="D1274" s="12" t="s">
        <v>3936</v>
      </c>
      <c r="E1274" s="14"/>
      <c r="F1274" s="14"/>
      <c r="G1274" s="13" t="s">
        <v>16</v>
      </c>
      <c r="H1274" s="83"/>
      <c r="I1274" s="51">
        <f>72*0.3</f>
        <v>21.6</v>
      </c>
      <c r="J1274" s="16" t="s">
        <v>3255</v>
      </c>
    </row>
    <row r="1275" ht="42.75" spans="1:10">
      <c r="A1275" s="10">
        <v>1273</v>
      </c>
      <c r="B1275" s="10" t="s">
        <v>211</v>
      </c>
      <c r="C1275" s="96" t="s">
        <v>3937</v>
      </c>
      <c r="D1275" s="12" t="s">
        <v>3938</v>
      </c>
      <c r="E1275" s="12" t="s">
        <v>3939</v>
      </c>
      <c r="F1275" s="12" t="s">
        <v>3940</v>
      </c>
      <c r="G1275" s="13" t="s">
        <v>3923</v>
      </c>
      <c r="H1275" s="83"/>
      <c r="I1275" s="47">
        <v>260</v>
      </c>
      <c r="J1275" s="16" t="s">
        <v>3255</v>
      </c>
    </row>
    <row r="1276" ht="30" spans="1:10">
      <c r="A1276" s="10">
        <v>1274</v>
      </c>
      <c r="B1276" s="10" t="s">
        <v>211</v>
      </c>
      <c r="C1276" s="96" t="s">
        <v>3941</v>
      </c>
      <c r="D1276" s="12" t="s">
        <v>3942</v>
      </c>
      <c r="E1276" s="14"/>
      <c r="F1276" s="14"/>
      <c r="G1276" s="13" t="s">
        <v>3923</v>
      </c>
      <c r="H1276" s="83"/>
      <c r="I1276" s="51">
        <f>I1275*0.3</f>
        <v>78</v>
      </c>
      <c r="J1276" s="16" t="s">
        <v>3255</v>
      </c>
    </row>
    <row r="1277" ht="57" spans="1:10">
      <c r="A1277" s="10">
        <v>1275</v>
      </c>
      <c r="B1277" s="10" t="s">
        <v>211</v>
      </c>
      <c r="C1277" s="96" t="s">
        <v>3943</v>
      </c>
      <c r="D1277" s="12" t="s">
        <v>3944</v>
      </c>
      <c r="E1277" s="12" t="s">
        <v>3945</v>
      </c>
      <c r="F1277" s="12" t="s">
        <v>3946</v>
      </c>
      <c r="G1277" s="13" t="s">
        <v>16</v>
      </c>
      <c r="H1277" s="82" t="s">
        <v>3947</v>
      </c>
      <c r="I1277" s="47">
        <v>1203.6124260355</v>
      </c>
      <c r="J1277" s="16" t="s">
        <v>3255</v>
      </c>
    </row>
    <row r="1278" ht="30" spans="1:10">
      <c r="A1278" s="10">
        <v>1276</v>
      </c>
      <c r="B1278" s="10" t="s">
        <v>211</v>
      </c>
      <c r="C1278" s="96" t="s">
        <v>3948</v>
      </c>
      <c r="D1278" s="12" t="s">
        <v>3949</v>
      </c>
      <c r="E1278" s="14"/>
      <c r="F1278" s="14"/>
      <c r="G1278" s="13" t="s">
        <v>16</v>
      </c>
      <c r="H1278" s="83"/>
      <c r="I1278" s="51">
        <f>1204*0.3</f>
        <v>361.2</v>
      </c>
      <c r="J1278" s="16" t="s">
        <v>3255</v>
      </c>
    </row>
    <row r="1279" ht="45.75" spans="1:10">
      <c r="A1279" s="10">
        <v>1277</v>
      </c>
      <c r="B1279" s="10" t="s">
        <v>211</v>
      </c>
      <c r="C1279" s="96" t="s">
        <v>3950</v>
      </c>
      <c r="D1279" s="12" t="s">
        <v>3951</v>
      </c>
      <c r="E1279" s="14"/>
      <c r="F1279" s="14"/>
      <c r="G1279" s="13" t="s">
        <v>16</v>
      </c>
      <c r="H1279" s="82" t="s">
        <v>3947</v>
      </c>
      <c r="I1279" s="47">
        <v>345</v>
      </c>
      <c r="J1279" s="16" t="s">
        <v>3255</v>
      </c>
    </row>
    <row r="1280" ht="30" spans="1:10">
      <c r="A1280" s="10">
        <v>1278</v>
      </c>
      <c r="B1280" s="10" t="s">
        <v>211</v>
      </c>
      <c r="C1280" s="96" t="s">
        <v>3952</v>
      </c>
      <c r="D1280" s="12" t="s">
        <v>3953</v>
      </c>
      <c r="E1280" s="14"/>
      <c r="F1280" s="14"/>
      <c r="G1280" s="13" t="s">
        <v>16</v>
      </c>
      <c r="H1280" s="83"/>
      <c r="I1280" s="47">
        <v>245</v>
      </c>
      <c r="J1280" s="16" t="s">
        <v>3255</v>
      </c>
    </row>
    <row r="1281" ht="57" spans="1:10">
      <c r="A1281" s="10">
        <v>1279</v>
      </c>
      <c r="B1281" s="10" t="s">
        <v>211</v>
      </c>
      <c r="C1281" s="96" t="s">
        <v>3954</v>
      </c>
      <c r="D1281" s="12" t="s">
        <v>3955</v>
      </c>
      <c r="E1281" s="12" t="s">
        <v>3956</v>
      </c>
      <c r="F1281" s="12" t="s">
        <v>3957</v>
      </c>
      <c r="G1281" s="13" t="s">
        <v>16</v>
      </c>
      <c r="H1281" s="83"/>
      <c r="I1281" s="47">
        <v>2095.1</v>
      </c>
      <c r="J1281" s="16" t="s">
        <v>3255</v>
      </c>
    </row>
    <row r="1282" ht="30" spans="1:10">
      <c r="A1282" s="10">
        <v>1280</v>
      </c>
      <c r="B1282" s="10" t="s">
        <v>211</v>
      </c>
      <c r="C1282" s="96" t="s">
        <v>3958</v>
      </c>
      <c r="D1282" s="12" t="s">
        <v>3959</v>
      </c>
      <c r="E1282" s="14"/>
      <c r="F1282" s="14"/>
      <c r="G1282" s="13" t="s">
        <v>16</v>
      </c>
      <c r="H1282" s="83"/>
      <c r="I1282" s="51">
        <f>2095*0.3</f>
        <v>628.5</v>
      </c>
      <c r="J1282" s="16" t="s">
        <v>3255</v>
      </c>
    </row>
    <row r="1283" ht="42.75" spans="1:10">
      <c r="A1283" s="10">
        <v>1281</v>
      </c>
      <c r="B1283" s="10" t="s">
        <v>211</v>
      </c>
      <c r="C1283" s="96" t="s">
        <v>3960</v>
      </c>
      <c r="D1283" s="12" t="s">
        <v>3961</v>
      </c>
      <c r="E1283" s="12" t="s">
        <v>3962</v>
      </c>
      <c r="F1283" s="12" t="s">
        <v>3963</v>
      </c>
      <c r="G1283" s="13" t="s">
        <v>16</v>
      </c>
      <c r="H1283" s="83"/>
      <c r="I1283" s="47">
        <v>729.8</v>
      </c>
      <c r="J1283" s="16" t="s">
        <v>3255</v>
      </c>
    </row>
    <row r="1284" ht="30" spans="1:10">
      <c r="A1284" s="10">
        <v>1282</v>
      </c>
      <c r="B1284" s="10" t="s">
        <v>211</v>
      </c>
      <c r="C1284" s="96" t="s">
        <v>3964</v>
      </c>
      <c r="D1284" s="12" t="s">
        <v>3965</v>
      </c>
      <c r="E1284" s="14"/>
      <c r="F1284" s="14"/>
      <c r="G1284" s="13" t="s">
        <v>16</v>
      </c>
      <c r="H1284" s="83"/>
      <c r="I1284" s="51">
        <f>730*0.3</f>
        <v>219</v>
      </c>
      <c r="J1284" s="16" t="s">
        <v>3255</v>
      </c>
    </row>
    <row r="1285" ht="44.25" spans="1:10">
      <c r="A1285" s="10">
        <v>1283</v>
      </c>
      <c r="B1285" s="10" t="s">
        <v>211</v>
      </c>
      <c r="C1285" s="96" t="s">
        <v>3966</v>
      </c>
      <c r="D1285" s="12" t="s">
        <v>3967</v>
      </c>
      <c r="E1285" s="12" t="s">
        <v>3968</v>
      </c>
      <c r="F1285" s="12" t="s">
        <v>3963</v>
      </c>
      <c r="G1285" s="13" t="s">
        <v>16</v>
      </c>
      <c r="H1285" s="82" t="s">
        <v>3969</v>
      </c>
      <c r="I1285" s="15">
        <v>1158</v>
      </c>
      <c r="J1285" s="16" t="s">
        <v>3255</v>
      </c>
    </row>
    <row r="1286" ht="30" spans="1:10">
      <c r="A1286" s="10">
        <v>1284</v>
      </c>
      <c r="B1286" s="10" t="s">
        <v>211</v>
      </c>
      <c r="C1286" s="96" t="s">
        <v>3970</v>
      </c>
      <c r="D1286" s="12" t="s">
        <v>3971</v>
      </c>
      <c r="E1286" s="14"/>
      <c r="F1286" s="14"/>
      <c r="G1286" s="13" t="s">
        <v>16</v>
      </c>
      <c r="H1286" s="83"/>
      <c r="I1286" s="51">
        <f>1158*0.3</f>
        <v>347.4</v>
      </c>
      <c r="J1286" s="16" t="s">
        <v>3255</v>
      </c>
    </row>
    <row r="1287" ht="42.75" spans="1:10">
      <c r="A1287" s="10">
        <v>1285</v>
      </c>
      <c r="B1287" s="10" t="s">
        <v>211</v>
      </c>
      <c r="C1287" s="96" t="s">
        <v>3972</v>
      </c>
      <c r="D1287" s="12" t="s">
        <v>3973</v>
      </c>
      <c r="E1287" s="12" t="s">
        <v>3974</v>
      </c>
      <c r="F1287" s="12" t="s">
        <v>3872</v>
      </c>
      <c r="G1287" s="13" t="s">
        <v>16</v>
      </c>
      <c r="H1287" s="83"/>
      <c r="I1287" s="47">
        <v>296.84</v>
      </c>
      <c r="J1287" s="16" t="s">
        <v>3255</v>
      </c>
    </row>
    <row r="1288" ht="30" spans="1:10">
      <c r="A1288" s="10">
        <v>1286</v>
      </c>
      <c r="B1288" s="10" t="s">
        <v>211</v>
      </c>
      <c r="C1288" s="96" t="s">
        <v>3975</v>
      </c>
      <c r="D1288" s="12" t="s">
        <v>3976</v>
      </c>
      <c r="E1288" s="14"/>
      <c r="F1288" s="14"/>
      <c r="G1288" s="13" t="s">
        <v>16</v>
      </c>
      <c r="H1288" s="83"/>
      <c r="I1288" s="51">
        <f>297*0.3</f>
        <v>89.1</v>
      </c>
      <c r="J1288" s="16" t="s">
        <v>3255</v>
      </c>
    </row>
    <row r="1289" ht="57" spans="1:10">
      <c r="A1289" s="10">
        <v>1287</v>
      </c>
      <c r="B1289" s="10" t="s">
        <v>211</v>
      </c>
      <c r="C1289" s="96" t="s">
        <v>3977</v>
      </c>
      <c r="D1289" s="12" t="s">
        <v>3978</v>
      </c>
      <c r="E1289" s="12" t="s">
        <v>3979</v>
      </c>
      <c r="F1289" s="12" t="s">
        <v>3980</v>
      </c>
      <c r="G1289" s="13" t="s">
        <v>16</v>
      </c>
      <c r="H1289" s="83"/>
      <c r="I1289" s="47">
        <v>1100.44</v>
      </c>
      <c r="J1289" s="16" t="s">
        <v>3255</v>
      </c>
    </row>
    <row r="1290" ht="30" spans="1:10">
      <c r="A1290" s="10">
        <v>1288</v>
      </c>
      <c r="B1290" s="10" t="s">
        <v>211</v>
      </c>
      <c r="C1290" s="96" t="s">
        <v>3981</v>
      </c>
      <c r="D1290" s="12" t="s">
        <v>3982</v>
      </c>
      <c r="E1290" s="14"/>
      <c r="F1290" s="14"/>
      <c r="G1290" s="13" t="s">
        <v>16</v>
      </c>
      <c r="H1290" s="83"/>
      <c r="I1290" s="51">
        <f>1100*0.3</f>
        <v>330</v>
      </c>
      <c r="J1290" s="16" t="s">
        <v>3255</v>
      </c>
    </row>
    <row r="1291" ht="74.25" spans="1:10">
      <c r="A1291" s="10">
        <v>1289</v>
      </c>
      <c r="B1291" s="10" t="s">
        <v>211</v>
      </c>
      <c r="C1291" s="96" t="s">
        <v>3983</v>
      </c>
      <c r="D1291" s="12" t="s">
        <v>3984</v>
      </c>
      <c r="E1291" s="12" t="s">
        <v>3985</v>
      </c>
      <c r="F1291" s="12" t="s">
        <v>3980</v>
      </c>
      <c r="G1291" s="13" t="s">
        <v>16</v>
      </c>
      <c r="H1291" s="82" t="s">
        <v>3986</v>
      </c>
      <c r="I1291" s="47">
        <v>1467.8</v>
      </c>
      <c r="J1291" s="16" t="s">
        <v>3255</v>
      </c>
    </row>
    <row r="1292" ht="30" spans="1:10">
      <c r="A1292" s="10">
        <v>1290</v>
      </c>
      <c r="B1292" s="10" t="s">
        <v>211</v>
      </c>
      <c r="C1292" s="96" t="s">
        <v>3987</v>
      </c>
      <c r="D1292" s="12" t="s">
        <v>3988</v>
      </c>
      <c r="E1292" s="14"/>
      <c r="F1292" s="14"/>
      <c r="G1292" s="13" t="s">
        <v>16</v>
      </c>
      <c r="H1292" s="83"/>
      <c r="I1292" s="51">
        <f>1468*0.3</f>
        <v>440.4</v>
      </c>
      <c r="J1292" s="16" t="s">
        <v>3255</v>
      </c>
    </row>
    <row r="1293" ht="57" spans="1:10">
      <c r="A1293" s="10">
        <v>1291</v>
      </c>
      <c r="B1293" s="10" t="s">
        <v>211</v>
      </c>
      <c r="C1293" s="96" t="s">
        <v>3989</v>
      </c>
      <c r="D1293" s="12" t="s">
        <v>3990</v>
      </c>
      <c r="E1293" s="12" t="s">
        <v>3991</v>
      </c>
      <c r="F1293" s="12" t="s">
        <v>3980</v>
      </c>
      <c r="G1293" s="13" t="s">
        <v>16</v>
      </c>
      <c r="H1293" s="83"/>
      <c r="I1293" s="47">
        <v>2304.2</v>
      </c>
      <c r="J1293" s="16" t="s">
        <v>3255</v>
      </c>
    </row>
    <row r="1294" ht="30" spans="1:10">
      <c r="A1294" s="10">
        <v>1292</v>
      </c>
      <c r="B1294" s="10" t="s">
        <v>211</v>
      </c>
      <c r="C1294" s="96" t="s">
        <v>3992</v>
      </c>
      <c r="D1294" s="12" t="s">
        <v>3993</v>
      </c>
      <c r="E1294" s="14"/>
      <c r="F1294" s="14"/>
      <c r="G1294" s="13" t="s">
        <v>16</v>
      </c>
      <c r="H1294" s="83"/>
      <c r="I1294" s="51">
        <f>2304*0.3</f>
        <v>691.2</v>
      </c>
      <c r="J1294" s="16" t="s">
        <v>3255</v>
      </c>
    </row>
    <row r="1295" ht="44.25" spans="1:10">
      <c r="A1295" s="10">
        <v>1293</v>
      </c>
      <c r="B1295" s="10" t="s">
        <v>211</v>
      </c>
      <c r="C1295" s="96" t="s">
        <v>3994</v>
      </c>
      <c r="D1295" s="12" t="s">
        <v>3995</v>
      </c>
      <c r="E1295" s="14"/>
      <c r="F1295" s="14"/>
      <c r="G1295" s="13" t="s">
        <v>16</v>
      </c>
      <c r="H1295" s="83"/>
      <c r="I1295" s="47">
        <v>691</v>
      </c>
      <c r="J1295" s="16" t="s">
        <v>3255</v>
      </c>
    </row>
    <row r="1296" ht="57" spans="1:10">
      <c r="A1296" s="10">
        <v>1294</v>
      </c>
      <c r="B1296" s="10" t="s">
        <v>211</v>
      </c>
      <c r="C1296" s="96" t="s">
        <v>3996</v>
      </c>
      <c r="D1296" s="12" t="s">
        <v>3997</v>
      </c>
      <c r="E1296" s="12" t="s">
        <v>3998</v>
      </c>
      <c r="F1296" s="12" t="s">
        <v>3999</v>
      </c>
      <c r="G1296" s="13" t="s">
        <v>16</v>
      </c>
      <c r="H1296" s="83"/>
      <c r="I1296" s="47">
        <v>1950.78</v>
      </c>
      <c r="J1296" s="16" t="s">
        <v>3255</v>
      </c>
    </row>
    <row r="1297" ht="30" spans="1:10">
      <c r="A1297" s="10">
        <v>1295</v>
      </c>
      <c r="B1297" s="10" t="s">
        <v>211</v>
      </c>
      <c r="C1297" s="96" t="s">
        <v>4000</v>
      </c>
      <c r="D1297" s="12" t="s">
        <v>4001</v>
      </c>
      <c r="E1297" s="14"/>
      <c r="F1297" s="14"/>
      <c r="G1297" s="13" t="s">
        <v>16</v>
      </c>
      <c r="H1297" s="83"/>
      <c r="I1297" s="51">
        <f>1951*0.3</f>
        <v>585.3</v>
      </c>
      <c r="J1297" s="16" t="s">
        <v>3255</v>
      </c>
    </row>
    <row r="1298" ht="57" spans="1:10">
      <c r="A1298" s="10">
        <v>1296</v>
      </c>
      <c r="B1298" s="10" t="s">
        <v>211</v>
      </c>
      <c r="C1298" s="96" t="s">
        <v>4002</v>
      </c>
      <c r="D1298" s="12" t="s">
        <v>4003</v>
      </c>
      <c r="E1298" s="12" t="s">
        <v>4004</v>
      </c>
      <c r="F1298" s="12" t="s">
        <v>4005</v>
      </c>
      <c r="G1298" s="13" t="s">
        <v>16</v>
      </c>
      <c r="H1298" s="83"/>
      <c r="I1298" s="47">
        <v>834.76</v>
      </c>
      <c r="J1298" s="16" t="s">
        <v>3255</v>
      </c>
    </row>
    <row r="1299" ht="30" spans="1:10">
      <c r="A1299" s="10">
        <v>1297</v>
      </c>
      <c r="B1299" s="10" t="s">
        <v>211</v>
      </c>
      <c r="C1299" s="96" t="s">
        <v>4006</v>
      </c>
      <c r="D1299" s="12" t="s">
        <v>4007</v>
      </c>
      <c r="E1299" s="14"/>
      <c r="F1299" s="14"/>
      <c r="G1299" s="13" t="s">
        <v>16</v>
      </c>
      <c r="H1299" s="83"/>
      <c r="I1299" s="51">
        <f>835*0.3</f>
        <v>250.5</v>
      </c>
      <c r="J1299" s="16" t="s">
        <v>3255</v>
      </c>
    </row>
    <row r="1300" ht="58.5" spans="1:10">
      <c r="A1300" s="10">
        <v>1298</v>
      </c>
      <c r="B1300" s="10" t="s">
        <v>211</v>
      </c>
      <c r="C1300" s="96" t="s">
        <v>4008</v>
      </c>
      <c r="D1300" s="12" t="s">
        <v>4009</v>
      </c>
      <c r="E1300" s="12" t="s">
        <v>4010</v>
      </c>
      <c r="F1300" s="12" t="s">
        <v>4011</v>
      </c>
      <c r="G1300" s="13" t="s">
        <v>16</v>
      </c>
      <c r="H1300" s="82" t="s">
        <v>4012</v>
      </c>
      <c r="I1300" s="47">
        <v>2535</v>
      </c>
      <c r="J1300" s="16" t="s">
        <v>3255</v>
      </c>
    </row>
    <row r="1301" ht="30" spans="1:10">
      <c r="A1301" s="10">
        <v>1299</v>
      </c>
      <c r="B1301" s="10" t="s">
        <v>211</v>
      </c>
      <c r="C1301" s="96" t="s">
        <v>4013</v>
      </c>
      <c r="D1301" s="12" t="s">
        <v>4014</v>
      </c>
      <c r="E1301" s="14"/>
      <c r="F1301" s="14"/>
      <c r="G1301" s="13" t="s">
        <v>16</v>
      </c>
      <c r="H1301" s="83"/>
      <c r="I1301" s="51">
        <f>2535*0.3</f>
        <v>760.5</v>
      </c>
      <c r="J1301" s="16" t="s">
        <v>3255</v>
      </c>
    </row>
    <row r="1302" ht="57" spans="1:10">
      <c r="A1302" s="10">
        <v>1300</v>
      </c>
      <c r="B1302" s="10" t="s">
        <v>211</v>
      </c>
      <c r="C1302" s="96" t="s">
        <v>4015</v>
      </c>
      <c r="D1302" s="12" t="s">
        <v>4016</v>
      </c>
      <c r="E1302" s="12" t="s">
        <v>4017</v>
      </c>
      <c r="F1302" s="12" t="s">
        <v>4011</v>
      </c>
      <c r="G1302" s="13" t="s">
        <v>16</v>
      </c>
      <c r="H1302" s="82" t="s">
        <v>4018</v>
      </c>
      <c r="I1302" s="15">
        <v>3332.48</v>
      </c>
      <c r="J1302" s="16" t="s">
        <v>3255</v>
      </c>
    </row>
    <row r="1303" ht="30" spans="1:10">
      <c r="A1303" s="10">
        <v>1301</v>
      </c>
      <c r="B1303" s="10" t="s">
        <v>211</v>
      </c>
      <c r="C1303" s="96" t="s">
        <v>4019</v>
      </c>
      <c r="D1303" s="12" t="s">
        <v>4020</v>
      </c>
      <c r="E1303" s="14"/>
      <c r="F1303" s="14"/>
      <c r="G1303" s="13" t="s">
        <v>16</v>
      </c>
      <c r="H1303" s="83"/>
      <c r="I1303" s="51">
        <f>3332*0.3</f>
        <v>999.6</v>
      </c>
      <c r="J1303" s="16" t="s">
        <v>3255</v>
      </c>
    </row>
    <row r="1304" ht="42.75" spans="1:10">
      <c r="A1304" s="10">
        <v>1302</v>
      </c>
      <c r="B1304" s="10" t="s">
        <v>211</v>
      </c>
      <c r="C1304" s="96" t="s">
        <v>4021</v>
      </c>
      <c r="D1304" s="12" t="s">
        <v>4022</v>
      </c>
      <c r="E1304" s="12" t="s">
        <v>4023</v>
      </c>
      <c r="F1304" s="12" t="s">
        <v>4024</v>
      </c>
      <c r="G1304" s="13" t="s">
        <v>16</v>
      </c>
      <c r="H1304" s="83"/>
      <c r="I1304" s="47">
        <v>110</v>
      </c>
      <c r="J1304" s="16" t="s">
        <v>3255</v>
      </c>
    </row>
    <row r="1305" ht="30" spans="1:10">
      <c r="A1305" s="10">
        <v>1303</v>
      </c>
      <c r="B1305" s="10" t="s">
        <v>211</v>
      </c>
      <c r="C1305" s="87" t="s">
        <v>4025</v>
      </c>
      <c r="D1305" s="79" t="s">
        <v>4026</v>
      </c>
      <c r="E1305" s="80"/>
      <c r="F1305" s="80"/>
      <c r="G1305" s="13" t="s">
        <v>16</v>
      </c>
      <c r="H1305" s="86"/>
      <c r="I1305" s="51">
        <f>110*0.3</f>
        <v>33</v>
      </c>
      <c r="J1305" s="16" t="s">
        <v>3255</v>
      </c>
    </row>
    <row r="1306" ht="77.25" spans="1:10">
      <c r="A1306" s="10">
        <v>1304</v>
      </c>
      <c r="B1306" s="10" t="s">
        <v>211</v>
      </c>
      <c r="C1306" s="87" t="s">
        <v>4027</v>
      </c>
      <c r="D1306" s="79" t="s">
        <v>4028</v>
      </c>
      <c r="E1306" s="79" t="s">
        <v>4029</v>
      </c>
      <c r="F1306" s="79" t="s">
        <v>3740</v>
      </c>
      <c r="G1306" s="88" t="s">
        <v>16</v>
      </c>
      <c r="H1306" s="89" t="s">
        <v>4030</v>
      </c>
      <c r="I1306" s="47">
        <v>3535.84</v>
      </c>
      <c r="J1306" s="16" t="s">
        <v>3255</v>
      </c>
    </row>
    <row r="1307" ht="30" spans="1:10">
      <c r="A1307" s="10">
        <v>1305</v>
      </c>
      <c r="B1307" s="10" t="s">
        <v>211</v>
      </c>
      <c r="C1307" s="87" t="s">
        <v>4031</v>
      </c>
      <c r="D1307" s="79" t="s">
        <v>4032</v>
      </c>
      <c r="E1307" s="80"/>
      <c r="F1307" s="80"/>
      <c r="G1307" s="88" t="s">
        <v>16</v>
      </c>
      <c r="H1307" s="86"/>
      <c r="I1307" s="51">
        <f>3536*0.3</f>
        <v>1060.8</v>
      </c>
      <c r="J1307" s="16" t="s">
        <v>3255</v>
      </c>
    </row>
    <row r="1308" ht="57" spans="1:10">
      <c r="A1308" s="10">
        <v>1306</v>
      </c>
      <c r="B1308" s="10" t="s">
        <v>211</v>
      </c>
      <c r="C1308" s="87" t="s">
        <v>4033</v>
      </c>
      <c r="D1308" s="79" t="s">
        <v>4034</v>
      </c>
      <c r="E1308" s="79" t="s">
        <v>4035</v>
      </c>
      <c r="F1308" s="79" t="s">
        <v>3740</v>
      </c>
      <c r="G1308" s="88" t="s">
        <v>16</v>
      </c>
      <c r="H1308" s="89" t="s">
        <v>4036</v>
      </c>
      <c r="I1308" s="47">
        <v>4932.3</v>
      </c>
      <c r="J1308" s="16" t="s">
        <v>3255</v>
      </c>
    </row>
    <row r="1309" ht="15.75" spans="1:10">
      <c r="A1309" s="10">
        <v>1307</v>
      </c>
      <c r="B1309" s="10" t="s">
        <v>211</v>
      </c>
      <c r="C1309" s="87" t="s">
        <v>4037</v>
      </c>
      <c r="D1309" s="79" t="s">
        <v>4038</v>
      </c>
      <c r="E1309" s="80"/>
      <c r="F1309" s="80"/>
      <c r="G1309" s="88" t="s">
        <v>16</v>
      </c>
      <c r="H1309" s="86"/>
      <c r="I1309" s="51">
        <f>4932*0.3</f>
        <v>1479.6</v>
      </c>
      <c r="J1309" s="16" t="s">
        <v>3255</v>
      </c>
    </row>
    <row r="1310" ht="30" spans="1:10">
      <c r="A1310" s="10">
        <v>1308</v>
      </c>
      <c r="B1310" s="10" t="s">
        <v>211</v>
      </c>
      <c r="C1310" s="87" t="s">
        <v>4039</v>
      </c>
      <c r="D1310" s="79" t="s">
        <v>4040</v>
      </c>
      <c r="E1310" s="80"/>
      <c r="F1310" s="80"/>
      <c r="G1310" s="88" t="s">
        <v>16</v>
      </c>
      <c r="H1310" s="86"/>
      <c r="I1310" s="47">
        <v>494</v>
      </c>
      <c r="J1310" s="16" t="s">
        <v>3255</v>
      </c>
    </row>
    <row r="1311" ht="30" spans="1:10">
      <c r="A1311" s="10">
        <v>1309</v>
      </c>
      <c r="B1311" s="10" t="s">
        <v>211</v>
      </c>
      <c r="C1311" s="87" t="s">
        <v>4041</v>
      </c>
      <c r="D1311" s="79" t="s">
        <v>4042</v>
      </c>
      <c r="E1311" s="80"/>
      <c r="F1311" s="80"/>
      <c r="G1311" s="88" t="s">
        <v>16</v>
      </c>
      <c r="H1311" s="86"/>
      <c r="I1311" s="47">
        <v>986</v>
      </c>
      <c r="J1311" s="16" t="s">
        <v>3255</v>
      </c>
    </row>
    <row r="1312" ht="93" spans="1:10">
      <c r="A1312" s="10">
        <v>1310</v>
      </c>
      <c r="B1312" s="10" t="s">
        <v>211</v>
      </c>
      <c r="C1312" s="87" t="s">
        <v>4043</v>
      </c>
      <c r="D1312" s="79" t="s">
        <v>4044</v>
      </c>
      <c r="E1312" s="79" t="s">
        <v>4045</v>
      </c>
      <c r="F1312" s="79" t="s">
        <v>3740</v>
      </c>
      <c r="G1312" s="88" t="s">
        <v>16</v>
      </c>
      <c r="H1312" s="86" t="s">
        <v>4046</v>
      </c>
      <c r="I1312" s="47">
        <v>4419.8</v>
      </c>
      <c r="J1312" s="16" t="s">
        <v>3255</v>
      </c>
    </row>
    <row r="1313" ht="30" spans="1:10">
      <c r="A1313" s="10">
        <v>1311</v>
      </c>
      <c r="B1313" s="10" t="s">
        <v>211</v>
      </c>
      <c r="C1313" s="87" t="s">
        <v>4047</v>
      </c>
      <c r="D1313" s="79" t="s">
        <v>4048</v>
      </c>
      <c r="E1313" s="80"/>
      <c r="F1313" s="80"/>
      <c r="G1313" s="88" t="s">
        <v>16</v>
      </c>
      <c r="H1313" s="86"/>
      <c r="I1313" s="51">
        <f>4420*0.3</f>
        <v>1326</v>
      </c>
      <c r="J1313" s="16" t="s">
        <v>3255</v>
      </c>
    </row>
    <row r="1314" ht="30" spans="1:10">
      <c r="A1314" s="10">
        <v>1312</v>
      </c>
      <c r="B1314" s="10" t="s">
        <v>211</v>
      </c>
      <c r="C1314" s="87" t="s">
        <v>4049</v>
      </c>
      <c r="D1314" s="79" t="s">
        <v>4050</v>
      </c>
      <c r="E1314" s="80"/>
      <c r="F1314" s="80"/>
      <c r="G1314" s="88" t="s">
        <v>16</v>
      </c>
      <c r="H1314" s="89" t="s">
        <v>4051</v>
      </c>
      <c r="I1314" s="47">
        <v>442</v>
      </c>
      <c r="J1314" s="16" t="s">
        <v>3255</v>
      </c>
    </row>
    <row r="1315" ht="45.75" spans="1:10">
      <c r="A1315" s="10">
        <v>1313</v>
      </c>
      <c r="B1315" s="10" t="s">
        <v>211</v>
      </c>
      <c r="C1315" s="87" t="s">
        <v>4052</v>
      </c>
      <c r="D1315" s="79" t="s">
        <v>4053</v>
      </c>
      <c r="E1315" s="80"/>
      <c r="F1315" s="80"/>
      <c r="G1315" s="88" t="s">
        <v>16</v>
      </c>
      <c r="H1315" s="86"/>
      <c r="I1315" s="47">
        <v>884</v>
      </c>
      <c r="J1315" s="16" t="s">
        <v>3255</v>
      </c>
    </row>
    <row r="1316" ht="57" spans="1:10">
      <c r="A1316" s="10">
        <v>1314</v>
      </c>
      <c r="B1316" s="10" t="s">
        <v>211</v>
      </c>
      <c r="C1316" s="87" t="s">
        <v>4054</v>
      </c>
      <c r="D1316" s="79" t="s">
        <v>4055</v>
      </c>
      <c r="E1316" s="79" t="s">
        <v>4056</v>
      </c>
      <c r="F1316" s="79" t="s">
        <v>4057</v>
      </c>
      <c r="G1316" s="88" t="s">
        <v>16</v>
      </c>
      <c r="H1316" s="89" t="s">
        <v>4058</v>
      </c>
      <c r="I1316" s="47">
        <v>5390</v>
      </c>
      <c r="J1316" s="16" t="s">
        <v>3255</v>
      </c>
    </row>
    <row r="1317" ht="30" spans="1:10">
      <c r="A1317" s="10">
        <v>1315</v>
      </c>
      <c r="B1317" s="10" t="s">
        <v>211</v>
      </c>
      <c r="C1317" s="87" t="s">
        <v>4059</v>
      </c>
      <c r="D1317" s="79" t="s">
        <v>4060</v>
      </c>
      <c r="E1317" s="14"/>
      <c r="F1317" s="14"/>
      <c r="G1317" s="88" t="s">
        <v>16</v>
      </c>
      <c r="H1317" s="86"/>
      <c r="I1317" s="51">
        <f>5390*0.3</f>
        <v>1617</v>
      </c>
      <c r="J1317" s="16" t="s">
        <v>3255</v>
      </c>
    </row>
    <row r="1318" ht="61.5" spans="1:10">
      <c r="A1318" s="10">
        <v>1316</v>
      </c>
      <c r="B1318" s="10" t="s">
        <v>211</v>
      </c>
      <c r="C1318" s="87" t="s">
        <v>4061</v>
      </c>
      <c r="D1318" s="79" t="s">
        <v>4062</v>
      </c>
      <c r="E1318" s="12" t="s">
        <v>4063</v>
      </c>
      <c r="F1318" s="12" t="s">
        <v>4064</v>
      </c>
      <c r="G1318" s="88" t="s">
        <v>16</v>
      </c>
      <c r="H1318" s="82" t="s">
        <v>3598</v>
      </c>
      <c r="I1318" s="47">
        <v>2933.14</v>
      </c>
      <c r="J1318" s="16" t="s">
        <v>3255</v>
      </c>
    </row>
    <row r="1319" ht="15.75" spans="1:10">
      <c r="A1319" s="10">
        <v>1317</v>
      </c>
      <c r="B1319" s="10" t="s">
        <v>211</v>
      </c>
      <c r="C1319" s="87" t="s">
        <v>4065</v>
      </c>
      <c r="D1319" s="79" t="s">
        <v>4066</v>
      </c>
      <c r="E1319" s="80"/>
      <c r="F1319" s="80"/>
      <c r="G1319" s="88" t="s">
        <v>16</v>
      </c>
      <c r="H1319" s="83"/>
      <c r="I1319" s="51">
        <f>2933*0.3</f>
        <v>879.9</v>
      </c>
      <c r="J1319" s="16" t="s">
        <v>3255</v>
      </c>
    </row>
    <row r="1320" ht="30" spans="1:10">
      <c r="A1320" s="10">
        <v>1318</v>
      </c>
      <c r="B1320" s="10" t="s">
        <v>211</v>
      </c>
      <c r="C1320" s="87" t="s">
        <v>4067</v>
      </c>
      <c r="D1320" s="79" t="s">
        <v>4068</v>
      </c>
      <c r="E1320" s="80"/>
      <c r="F1320" s="80"/>
      <c r="G1320" s="88" t="s">
        <v>16</v>
      </c>
      <c r="H1320" s="83"/>
      <c r="I1320" s="47">
        <v>880</v>
      </c>
      <c r="J1320" s="16" t="s">
        <v>3255</v>
      </c>
    </row>
    <row r="1321" ht="57" spans="1:10">
      <c r="A1321" s="10">
        <v>1319</v>
      </c>
      <c r="B1321" s="10" t="s">
        <v>211</v>
      </c>
      <c r="C1321" s="87" t="s">
        <v>4069</v>
      </c>
      <c r="D1321" s="79" t="s">
        <v>4070</v>
      </c>
      <c r="E1321" s="79" t="s">
        <v>4071</v>
      </c>
      <c r="F1321" s="79" t="s">
        <v>4072</v>
      </c>
      <c r="G1321" s="88" t="s">
        <v>16</v>
      </c>
      <c r="H1321" s="86"/>
      <c r="I1321" s="47">
        <v>2771.6</v>
      </c>
      <c r="J1321" s="16" t="s">
        <v>3255</v>
      </c>
    </row>
    <row r="1322" ht="30" spans="1:10">
      <c r="A1322" s="10">
        <v>1320</v>
      </c>
      <c r="B1322" s="10" t="s">
        <v>211</v>
      </c>
      <c r="C1322" s="96" t="s">
        <v>4073</v>
      </c>
      <c r="D1322" s="12" t="s">
        <v>4074</v>
      </c>
      <c r="E1322" s="14"/>
      <c r="F1322" s="14"/>
      <c r="G1322" s="88" t="s">
        <v>16</v>
      </c>
      <c r="H1322" s="83"/>
      <c r="I1322" s="51">
        <f>2772*0.3</f>
        <v>831.6</v>
      </c>
      <c r="J1322" s="16" t="s">
        <v>3255</v>
      </c>
    </row>
    <row r="1323" ht="57" spans="1:10">
      <c r="A1323" s="10">
        <v>1321</v>
      </c>
      <c r="B1323" s="10" t="s">
        <v>211</v>
      </c>
      <c r="C1323" s="96" t="s">
        <v>4075</v>
      </c>
      <c r="D1323" s="12" t="s">
        <v>4076</v>
      </c>
      <c r="E1323" s="12" t="s">
        <v>4077</v>
      </c>
      <c r="F1323" s="12" t="s">
        <v>3740</v>
      </c>
      <c r="G1323" s="13" t="s">
        <v>16</v>
      </c>
      <c r="H1323" s="83"/>
      <c r="I1323" s="47">
        <v>2584</v>
      </c>
      <c r="J1323" s="16" t="s">
        <v>3255</v>
      </c>
    </row>
    <row r="1324" ht="15.75" spans="1:10">
      <c r="A1324" s="10">
        <v>1322</v>
      </c>
      <c r="B1324" s="10" t="s">
        <v>211</v>
      </c>
      <c r="C1324" s="96" t="s">
        <v>4078</v>
      </c>
      <c r="D1324" s="12" t="s">
        <v>4079</v>
      </c>
      <c r="E1324" s="14"/>
      <c r="F1324" s="14"/>
      <c r="G1324" s="13" t="s">
        <v>16</v>
      </c>
      <c r="H1324" s="83"/>
      <c r="I1324" s="51">
        <f>2584*0.3</f>
        <v>775.2</v>
      </c>
      <c r="J1324" s="16" t="s">
        <v>3255</v>
      </c>
    </row>
    <row r="1325" ht="30" spans="1:10">
      <c r="A1325" s="10">
        <v>1323</v>
      </c>
      <c r="B1325" s="10" t="s">
        <v>211</v>
      </c>
      <c r="C1325" s="96" t="s">
        <v>4080</v>
      </c>
      <c r="D1325" s="12" t="s">
        <v>4081</v>
      </c>
      <c r="E1325" s="14"/>
      <c r="F1325" s="14"/>
      <c r="G1325" s="13" t="s">
        <v>16</v>
      </c>
      <c r="H1325" s="83"/>
      <c r="I1325" s="47">
        <v>517</v>
      </c>
      <c r="J1325" s="16" t="s">
        <v>3255</v>
      </c>
    </row>
    <row r="1326" ht="30" spans="1:10">
      <c r="A1326" s="10">
        <v>1324</v>
      </c>
      <c r="B1326" s="10" t="s">
        <v>211</v>
      </c>
      <c r="C1326" s="96" t="s">
        <v>4082</v>
      </c>
      <c r="D1326" s="12" t="s">
        <v>4083</v>
      </c>
      <c r="E1326" s="14"/>
      <c r="F1326" s="14"/>
      <c r="G1326" s="13" t="s">
        <v>16</v>
      </c>
      <c r="H1326" s="83"/>
      <c r="I1326" s="47">
        <v>1292</v>
      </c>
      <c r="J1326" s="16" t="s">
        <v>3255</v>
      </c>
    </row>
    <row r="1327" ht="60" spans="1:10">
      <c r="A1327" s="10">
        <v>1325</v>
      </c>
      <c r="B1327" s="10" t="s">
        <v>211</v>
      </c>
      <c r="C1327" s="96" t="s">
        <v>4084</v>
      </c>
      <c r="D1327" s="12" t="s">
        <v>4085</v>
      </c>
      <c r="E1327" s="12" t="s">
        <v>4086</v>
      </c>
      <c r="F1327" s="12" t="s">
        <v>3740</v>
      </c>
      <c r="G1327" s="13" t="s">
        <v>16</v>
      </c>
      <c r="H1327" s="82" t="s">
        <v>3569</v>
      </c>
      <c r="I1327" s="47">
        <v>3792.5</v>
      </c>
      <c r="J1327" s="16" t="s">
        <v>3255</v>
      </c>
    </row>
    <row r="1328" ht="30" spans="1:10">
      <c r="A1328" s="10">
        <v>1326</v>
      </c>
      <c r="B1328" s="10" t="s">
        <v>211</v>
      </c>
      <c r="C1328" s="87" t="s">
        <v>4087</v>
      </c>
      <c r="D1328" s="79" t="s">
        <v>4088</v>
      </c>
      <c r="E1328" s="80"/>
      <c r="F1328" s="14"/>
      <c r="G1328" s="13" t="s">
        <v>16</v>
      </c>
      <c r="H1328" s="83"/>
      <c r="I1328" s="51">
        <f>3793*0.3</f>
        <v>1137.9</v>
      </c>
      <c r="J1328" s="16" t="s">
        <v>3255</v>
      </c>
    </row>
    <row r="1329" ht="60" spans="1:10">
      <c r="A1329" s="10">
        <v>1327</v>
      </c>
      <c r="B1329" s="10" t="s">
        <v>211</v>
      </c>
      <c r="C1329" s="87" t="s">
        <v>4089</v>
      </c>
      <c r="D1329" s="79" t="s">
        <v>4090</v>
      </c>
      <c r="E1329" s="80"/>
      <c r="F1329" s="14"/>
      <c r="G1329" s="13" t="s">
        <v>16</v>
      </c>
      <c r="H1329" s="82" t="s">
        <v>3569</v>
      </c>
      <c r="I1329" s="47">
        <v>1897</v>
      </c>
      <c r="J1329" s="16" t="s">
        <v>3255</v>
      </c>
    </row>
    <row r="1330" ht="57" spans="1:10">
      <c r="A1330" s="10">
        <v>1328</v>
      </c>
      <c r="B1330" s="10" t="s">
        <v>211</v>
      </c>
      <c r="C1330" s="87" t="s">
        <v>4091</v>
      </c>
      <c r="D1330" s="79" t="s">
        <v>4092</v>
      </c>
      <c r="E1330" s="79" t="s">
        <v>4093</v>
      </c>
      <c r="F1330" s="12" t="s">
        <v>3740</v>
      </c>
      <c r="G1330" s="13" t="s">
        <v>16</v>
      </c>
      <c r="H1330" s="82" t="s">
        <v>4094</v>
      </c>
      <c r="I1330" s="47">
        <v>4064</v>
      </c>
      <c r="J1330" s="16" t="s">
        <v>3255</v>
      </c>
    </row>
    <row r="1331" ht="15.75" spans="1:10">
      <c r="A1331" s="10">
        <v>1329</v>
      </c>
      <c r="B1331" s="10" t="s">
        <v>211</v>
      </c>
      <c r="C1331" s="87" t="s">
        <v>4095</v>
      </c>
      <c r="D1331" s="79" t="s">
        <v>4096</v>
      </c>
      <c r="E1331" s="80"/>
      <c r="F1331" s="14"/>
      <c r="G1331" s="13" t="s">
        <v>16</v>
      </c>
      <c r="H1331" s="83"/>
      <c r="I1331" s="51">
        <f>4064*0.3</f>
        <v>1219.2</v>
      </c>
      <c r="J1331" s="16" t="s">
        <v>3255</v>
      </c>
    </row>
    <row r="1332" ht="30" spans="1:10">
      <c r="A1332" s="10">
        <v>1330</v>
      </c>
      <c r="B1332" s="10" t="s">
        <v>211</v>
      </c>
      <c r="C1332" s="87" t="s">
        <v>4097</v>
      </c>
      <c r="D1332" s="79" t="s">
        <v>4098</v>
      </c>
      <c r="E1332" s="80"/>
      <c r="F1332" s="14"/>
      <c r="G1332" s="13" t="s">
        <v>16</v>
      </c>
      <c r="H1332" s="83"/>
      <c r="I1332" s="47">
        <v>813</v>
      </c>
      <c r="J1332" s="16" t="s">
        <v>3255</v>
      </c>
    </row>
    <row r="1333" ht="42.75" spans="1:10">
      <c r="A1333" s="10">
        <v>1331</v>
      </c>
      <c r="B1333" s="10" t="s">
        <v>211</v>
      </c>
      <c r="C1333" s="87" t="s">
        <v>4099</v>
      </c>
      <c r="D1333" s="79" t="s">
        <v>4100</v>
      </c>
      <c r="E1333" s="79" t="s">
        <v>4101</v>
      </c>
      <c r="F1333" s="12" t="s">
        <v>4102</v>
      </c>
      <c r="G1333" s="88" t="s">
        <v>16</v>
      </c>
      <c r="H1333" s="86"/>
      <c r="I1333" s="47">
        <v>2568</v>
      </c>
      <c r="J1333" s="16" t="s">
        <v>3255</v>
      </c>
    </row>
    <row r="1334" ht="30" spans="1:10">
      <c r="A1334" s="10">
        <v>1332</v>
      </c>
      <c r="B1334" s="10" t="s">
        <v>211</v>
      </c>
      <c r="C1334" s="87" t="s">
        <v>4103</v>
      </c>
      <c r="D1334" s="79" t="s">
        <v>4104</v>
      </c>
      <c r="E1334" s="80"/>
      <c r="F1334" s="14"/>
      <c r="G1334" s="88" t="s">
        <v>16</v>
      </c>
      <c r="H1334" s="86"/>
      <c r="I1334" s="51">
        <f>2568*0.3</f>
        <v>770.4</v>
      </c>
      <c r="J1334" s="16" t="s">
        <v>3255</v>
      </c>
    </row>
    <row r="1335" ht="58.5" spans="1:10">
      <c r="A1335" s="10">
        <v>1333</v>
      </c>
      <c r="B1335" s="10" t="s">
        <v>211</v>
      </c>
      <c r="C1335" s="87" t="s">
        <v>4105</v>
      </c>
      <c r="D1335" s="79" t="s">
        <v>4106</v>
      </c>
      <c r="E1335" s="79" t="s">
        <v>4107</v>
      </c>
      <c r="F1335" s="12" t="s">
        <v>4108</v>
      </c>
      <c r="G1335" s="88" t="s">
        <v>16</v>
      </c>
      <c r="H1335" s="89" t="s">
        <v>4109</v>
      </c>
      <c r="I1335" s="47">
        <v>2827.36</v>
      </c>
      <c r="J1335" s="16" t="s">
        <v>3255</v>
      </c>
    </row>
    <row r="1336" ht="15.75" spans="1:10">
      <c r="A1336" s="10">
        <v>1334</v>
      </c>
      <c r="B1336" s="10" t="s">
        <v>211</v>
      </c>
      <c r="C1336" s="87" t="s">
        <v>4110</v>
      </c>
      <c r="D1336" s="79" t="s">
        <v>4111</v>
      </c>
      <c r="E1336" s="80"/>
      <c r="F1336" s="14"/>
      <c r="G1336" s="88" t="s">
        <v>16</v>
      </c>
      <c r="H1336" s="86"/>
      <c r="I1336" s="51">
        <f>2827*0.3</f>
        <v>848.1</v>
      </c>
      <c r="J1336" s="16" t="s">
        <v>3255</v>
      </c>
    </row>
    <row r="1337" ht="57" spans="1:10">
      <c r="A1337" s="10">
        <v>1335</v>
      </c>
      <c r="B1337" s="10" t="s">
        <v>211</v>
      </c>
      <c r="C1337" s="87" t="s">
        <v>4112</v>
      </c>
      <c r="D1337" s="79" t="s">
        <v>4113</v>
      </c>
      <c r="E1337" s="79" t="s">
        <v>4114</v>
      </c>
      <c r="F1337" s="12" t="s">
        <v>4115</v>
      </c>
      <c r="G1337" s="88" t="s">
        <v>16</v>
      </c>
      <c r="H1337" s="86"/>
      <c r="I1337" s="15">
        <v>786</v>
      </c>
      <c r="J1337" s="16" t="s">
        <v>3255</v>
      </c>
    </row>
    <row r="1338" ht="30" spans="1:10">
      <c r="A1338" s="10">
        <v>1336</v>
      </c>
      <c r="B1338" s="10" t="s">
        <v>211</v>
      </c>
      <c r="C1338" s="87" t="s">
        <v>4116</v>
      </c>
      <c r="D1338" s="79" t="s">
        <v>4117</v>
      </c>
      <c r="E1338" s="80"/>
      <c r="F1338" s="14"/>
      <c r="G1338" s="88" t="s">
        <v>16</v>
      </c>
      <c r="H1338" s="86"/>
      <c r="I1338" s="51">
        <f>786*0.3</f>
        <v>235.8</v>
      </c>
      <c r="J1338" s="16" t="s">
        <v>3255</v>
      </c>
    </row>
    <row r="1339" ht="57" spans="1:10">
      <c r="A1339" s="10">
        <v>1337</v>
      </c>
      <c r="B1339" s="10" t="s">
        <v>211</v>
      </c>
      <c r="C1339" s="87" t="s">
        <v>4118</v>
      </c>
      <c r="D1339" s="79" t="s">
        <v>4119</v>
      </c>
      <c r="E1339" s="79" t="s">
        <v>4120</v>
      </c>
      <c r="F1339" s="12" t="s">
        <v>4121</v>
      </c>
      <c r="G1339" s="88" t="s">
        <v>16</v>
      </c>
      <c r="H1339" s="86"/>
      <c r="I1339" s="47">
        <v>3344</v>
      </c>
      <c r="J1339" s="16" t="s">
        <v>3255</v>
      </c>
    </row>
    <row r="1340" ht="30" spans="1:10">
      <c r="A1340" s="10">
        <v>1338</v>
      </c>
      <c r="B1340" s="10" t="s">
        <v>211</v>
      </c>
      <c r="C1340" s="87" t="s">
        <v>4122</v>
      </c>
      <c r="D1340" s="79" t="s">
        <v>4123</v>
      </c>
      <c r="E1340" s="80"/>
      <c r="F1340" s="14"/>
      <c r="G1340" s="88" t="s">
        <v>16</v>
      </c>
      <c r="H1340" s="86"/>
      <c r="I1340" s="51">
        <f>3344*0.3</f>
        <v>1003.2</v>
      </c>
      <c r="J1340" s="16" t="s">
        <v>3255</v>
      </c>
    </row>
    <row r="1341" ht="58.5" spans="1:10">
      <c r="A1341" s="10">
        <v>1339</v>
      </c>
      <c r="B1341" s="10" t="s">
        <v>211</v>
      </c>
      <c r="C1341" s="87" t="s">
        <v>4124</v>
      </c>
      <c r="D1341" s="79" t="s">
        <v>4125</v>
      </c>
      <c r="E1341" s="79" t="s">
        <v>4126</v>
      </c>
      <c r="F1341" s="12" t="s">
        <v>4127</v>
      </c>
      <c r="G1341" s="88" t="s">
        <v>16</v>
      </c>
      <c r="H1341" s="89" t="s">
        <v>4128</v>
      </c>
      <c r="I1341" s="47">
        <v>3175</v>
      </c>
      <c r="J1341" s="16" t="s">
        <v>3255</v>
      </c>
    </row>
    <row r="1342" ht="30" spans="1:10">
      <c r="A1342" s="10">
        <v>1340</v>
      </c>
      <c r="B1342" s="10" t="s">
        <v>211</v>
      </c>
      <c r="C1342" s="87" t="s">
        <v>4129</v>
      </c>
      <c r="D1342" s="79" t="s">
        <v>4130</v>
      </c>
      <c r="E1342" s="14"/>
      <c r="F1342" s="14"/>
      <c r="G1342" s="88" t="s">
        <v>16</v>
      </c>
      <c r="H1342" s="86"/>
      <c r="I1342" s="51">
        <f>3175*0.3</f>
        <v>952.5</v>
      </c>
      <c r="J1342" s="16" t="s">
        <v>3255</v>
      </c>
    </row>
    <row r="1343" ht="42.75" spans="1:10">
      <c r="A1343" s="10">
        <v>1341</v>
      </c>
      <c r="B1343" s="10" t="s">
        <v>211</v>
      </c>
      <c r="C1343" s="87" t="s">
        <v>4131</v>
      </c>
      <c r="D1343" s="79" t="s">
        <v>4132</v>
      </c>
      <c r="E1343" s="12" t="s">
        <v>4133</v>
      </c>
      <c r="F1343" s="12" t="s">
        <v>4064</v>
      </c>
      <c r="G1343" s="88" t="s">
        <v>16</v>
      </c>
      <c r="H1343" s="89" t="s">
        <v>4134</v>
      </c>
      <c r="I1343" s="47">
        <v>2463</v>
      </c>
      <c r="J1343" s="16" t="s">
        <v>3255</v>
      </c>
    </row>
    <row r="1344" ht="15.75" spans="1:10">
      <c r="A1344" s="10">
        <v>1342</v>
      </c>
      <c r="B1344" s="10" t="s">
        <v>211</v>
      </c>
      <c r="C1344" s="96" t="s">
        <v>4135</v>
      </c>
      <c r="D1344" s="12" t="s">
        <v>4136</v>
      </c>
      <c r="E1344" s="14"/>
      <c r="F1344" s="80"/>
      <c r="G1344" s="88" t="s">
        <v>16</v>
      </c>
      <c r="H1344" s="86"/>
      <c r="I1344" s="51">
        <f>2463*0.3</f>
        <v>738.9</v>
      </c>
      <c r="J1344" s="16" t="s">
        <v>3255</v>
      </c>
    </row>
    <row r="1345" ht="57" spans="1:10">
      <c r="A1345" s="10">
        <v>1343</v>
      </c>
      <c r="B1345" s="10" t="s">
        <v>211</v>
      </c>
      <c r="C1345" s="96" t="s">
        <v>4137</v>
      </c>
      <c r="D1345" s="12" t="s">
        <v>4138</v>
      </c>
      <c r="E1345" s="12" t="s">
        <v>4139</v>
      </c>
      <c r="F1345" s="79" t="s">
        <v>4140</v>
      </c>
      <c r="G1345" s="88" t="s">
        <v>16</v>
      </c>
      <c r="H1345" s="89" t="s">
        <v>4141</v>
      </c>
      <c r="I1345" s="47">
        <v>4926</v>
      </c>
      <c r="J1345" s="16" t="s">
        <v>3255</v>
      </c>
    </row>
    <row r="1346" ht="30" spans="1:10">
      <c r="A1346" s="10">
        <v>1344</v>
      </c>
      <c r="B1346" s="10" t="s">
        <v>211</v>
      </c>
      <c r="C1346" s="96" t="s">
        <v>4142</v>
      </c>
      <c r="D1346" s="12" t="s">
        <v>4143</v>
      </c>
      <c r="E1346" s="14"/>
      <c r="F1346" s="14"/>
      <c r="G1346" s="88" t="s">
        <v>16</v>
      </c>
      <c r="H1346" s="86"/>
      <c r="I1346" s="51">
        <f>4926*0.3</f>
        <v>1477.8</v>
      </c>
      <c r="J1346" s="16" t="s">
        <v>3255</v>
      </c>
    </row>
    <row r="1347" ht="57" spans="1:10">
      <c r="A1347" s="10">
        <v>1345</v>
      </c>
      <c r="B1347" s="10" t="s">
        <v>211</v>
      </c>
      <c r="C1347" s="96" t="s">
        <v>4144</v>
      </c>
      <c r="D1347" s="12" t="s">
        <v>4145</v>
      </c>
      <c r="E1347" s="12" t="s">
        <v>4146</v>
      </c>
      <c r="F1347" s="12" t="s">
        <v>3606</v>
      </c>
      <c r="G1347" s="88" t="s">
        <v>16</v>
      </c>
      <c r="H1347" s="83"/>
      <c r="I1347" s="47">
        <v>7367</v>
      </c>
      <c r="J1347" s="16" t="s">
        <v>3255</v>
      </c>
    </row>
    <row r="1348" ht="30" spans="1:10">
      <c r="A1348" s="10">
        <v>1346</v>
      </c>
      <c r="B1348" s="10" t="s">
        <v>211</v>
      </c>
      <c r="C1348" s="96" t="s">
        <v>4147</v>
      </c>
      <c r="D1348" s="12" t="s">
        <v>4148</v>
      </c>
      <c r="E1348" s="14"/>
      <c r="F1348" s="14"/>
      <c r="G1348" s="88" t="s">
        <v>16</v>
      </c>
      <c r="H1348" s="85"/>
      <c r="I1348" s="51">
        <f>7367*0.3</f>
        <v>2210.1</v>
      </c>
      <c r="J1348" s="16" t="s">
        <v>3255</v>
      </c>
    </row>
    <row r="1349" ht="45.75" spans="1:10">
      <c r="A1349" s="10">
        <v>1347</v>
      </c>
      <c r="B1349" s="10" t="s">
        <v>211</v>
      </c>
      <c r="C1349" s="96" t="s">
        <v>4149</v>
      </c>
      <c r="D1349" s="12" t="s">
        <v>4150</v>
      </c>
      <c r="E1349" s="14"/>
      <c r="F1349" s="14"/>
      <c r="G1349" s="88" t="s">
        <v>16</v>
      </c>
      <c r="H1349" s="85"/>
      <c r="I1349" s="47">
        <v>1473</v>
      </c>
      <c r="J1349" s="16" t="s">
        <v>3255</v>
      </c>
    </row>
    <row r="1350" ht="57" spans="1:10">
      <c r="A1350" s="10">
        <v>1348</v>
      </c>
      <c r="B1350" s="10" t="s">
        <v>211</v>
      </c>
      <c r="C1350" s="96" t="s">
        <v>4151</v>
      </c>
      <c r="D1350" s="12" t="s">
        <v>4152</v>
      </c>
      <c r="E1350" s="12" t="s">
        <v>4153</v>
      </c>
      <c r="F1350" s="12" t="s">
        <v>3606</v>
      </c>
      <c r="G1350" s="88" t="s">
        <v>16</v>
      </c>
      <c r="H1350" s="85"/>
      <c r="I1350" s="47">
        <v>6937.2</v>
      </c>
      <c r="J1350" s="16" t="s">
        <v>3255</v>
      </c>
    </row>
    <row r="1351" ht="30" spans="1:10">
      <c r="A1351" s="10">
        <v>1349</v>
      </c>
      <c r="B1351" s="10" t="s">
        <v>211</v>
      </c>
      <c r="C1351" s="87" t="s">
        <v>4154</v>
      </c>
      <c r="D1351" s="79" t="s">
        <v>4155</v>
      </c>
      <c r="E1351" s="80"/>
      <c r="F1351" s="14"/>
      <c r="G1351" s="88" t="s">
        <v>16</v>
      </c>
      <c r="H1351" s="83"/>
      <c r="I1351" s="51">
        <f>6937*0.3</f>
        <v>2081.1</v>
      </c>
      <c r="J1351" s="16" t="s">
        <v>3255</v>
      </c>
    </row>
    <row r="1352" ht="60" spans="1:10">
      <c r="A1352" s="10">
        <v>1350</v>
      </c>
      <c r="B1352" s="10" t="s">
        <v>211</v>
      </c>
      <c r="C1352" s="87" t="s">
        <v>4156</v>
      </c>
      <c r="D1352" s="79" t="s">
        <v>4157</v>
      </c>
      <c r="E1352" s="79" t="s">
        <v>4158</v>
      </c>
      <c r="F1352" s="12" t="s">
        <v>3740</v>
      </c>
      <c r="G1352" s="88" t="s">
        <v>16</v>
      </c>
      <c r="H1352" s="82" t="s">
        <v>3569</v>
      </c>
      <c r="I1352" s="47">
        <v>3867.12</v>
      </c>
      <c r="J1352" s="16" t="s">
        <v>3255</v>
      </c>
    </row>
    <row r="1353" ht="30" spans="1:10">
      <c r="A1353" s="10">
        <v>1351</v>
      </c>
      <c r="B1353" s="10" t="s">
        <v>211</v>
      </c>
      <c r="C1353" s="87" t="s">
        <v>4159</v>
      </c>
      <c r="D1353" s="79" t="s">
        <v>4160</v>
      </c>
      <c r="E1353" s="80"/>
      <c r="F1353" s="14"/>
      <c r="G1353" s="88" t="s">
        <v>16</v>
      </c>
      <c r="H1353" s="83"/>
      <c r="I1353" s="51">
        <f>3867*0.3</f>
        <v>1160.1</v>
      </c>
      <c r="J1353" s="16" t="s">
        <v>3255</v>
      </c>
    </row>
    <row r="1354" ht="60" spans="1:10">
      <c r="A1354" s="10">
        <v>1352</v>
      </c>
      <c r="B1354" s="10" t="s">
        <v>211</v>
      </c>
      <c r="C1354" s="87" t="s">
        <v>4161</v>
      </c>
      <c r="D1354" s="79" t="s">
        <v>4162</v>
      </c>
      <c r="E1354" s="80"/>
      <c r="F1354" s="14"/>
      <c r="G1354" s="88" t="s">
        <v>16</v>
      </c>
      <c r="H1354" s="82" t="s">
        <v>3569</v>
      </c>
      <c r="I1354" s="47">
        <v>1934</v>
      </c>
      <c r="J1354" s="16" t="s">
        <v>3255</v>
      </c>
    </row>
    <row r="1355" ht="57" spans="1:10">
      <c r="A1355" s="10">
        <v>1353</v>
      </c>
      <c r="B1355" s="10" t="s">
        <v>211</v>
      </c>
      <c r="C1355" s="87" t="s">
        <v>4163</v>
      </c>
      <c r="D1355" s="79" t="s">
        <v>4164</v>
      </c>
      <c r="E1355" s="79" t="s">
        <v>4165</v>
      </c>
      <c r="F1355" s="12" t="s">
        <v>3740</v>
      </c>
      <c r="G1355" s="88" t="s">
        <v>16</v>
      </c>
      <c r="H1355" s="86"/>
      <c r="I1355" s="47">
        <v>4407.5</v>
      </c>
      <c r="J1355" s="16" t="s">
        <v>3255</v>
      </c>
    </row>
    <row r="1356" ht="30" spans="1:10">
      <c r="A1356" s="10">
        <v>1354</v>
      </c>
      <c r="B1356" s="10" t="s">
        <v>211</v>
      </c>
      <c r="C1356" s="87" t="s">
        <v>4166</v>
      </c>
      <c r="D1356" s="79" t="s">
        <v>4167</v>
      </c>
      <c r="E1356" s="80"/>
      <c r="F1356" s="14"/>
      <c r="G1356" s="88" t="s">
        <v>16</v>
      </c>
      <c r="H1356" s="86"/>
      <c r="I1356" s="51">
        <f>4408*0.3</f>
        <v>1322.4</v>
      </c>
      <c r="J1356" s="16" t="s">
        <v>3255</v>
      </c>
    </row>
    <row r="1357" ht="30" spans="1:10">
      <c r="A1357" s="10">
        <v>1355</v>
      </c>
      <c r="B1357" s="10" t="s">
        <v>211</v>
      </c>
      <c r="C1357" s="87" t="s">
        <v>4168</v>
      </c>
      <c r="D1357" s="79" t="s">
        <v>4169</v>
      </c>
      <c r="E1357" s="80"/>
      <c r="F1357" s="14"/>
      <c r="G1357" s="88" t="s">
        <v>16</v>
      </c>
      <c r="H1357" s="86"/>
      <c r="I1357" s="47">
        <v>882</v>
      </c>
      <c r="J1357" s="16" t="s">
        <v>3255</v>
      </c>
    </row>
    <row r="1358" ht="57" spans="1:10">
      <c r="A1358" s="10">
        <v>1356</v>
      </c>
      <c r="B1358" s="10" t="s">
        <v>211</v>
      </c>
      <c r="C1358" s="87" t="s">
        <v>4170</v>
      </c>
      <c r="D1358" s="79" t="s">
        <v>4171</v>
      </c>
      <c r="E1358" s="79" t="s">
        <v>4172</v>
      </c>
      <c r="F1358" s="12" t="s">
        <v>3740</v>
      </c>
      <c r="G1358" s="88" t="s">
        <v>16</v>
      </c>
      <c r="H1358" s="86"/>
      <c r="I1358" s="47">
        <v>3503.86</v>
      </c>
      <c r="J1358" s="16" t="s">
        <v>3255</v>
      </c>
    </row>
    <row r="1359" ht="30" spans="1:10">
      <c r="A1359" s="10">
        <v>1357</v>
      </c>
      <c r="B1359" s="10" t="s">
        <v>211</v>
      </c>
      <c r="C1359" s="87" t="s">
        <v>4173</v>
      </c>
      <c r="D1359" s="79" t="s">
        <v>4174</v>
      </c>
      <c r="E1359" s="80"/>
      <c r="F1359" s="14"/>
      <c r="G1359" s="88" t="s">
        <v>16</v>
      </c>
      <c r="H1359" s="86"/>
      <c r="I1359" s="51">
        <f>3504*0.3</f>
        <v>1051.2</v>
      </c>
      <c r="J1359" s="16" t="s">
        <v>3255</v>
      </c>
    </row>
    <row r="1360" ht="57" spans="1:10">
      <c r="A1360" s="10">
        <v>1358</v>
      </c>
      <c r="B1360" s="10" t="s">
        <v>211</v>
      </c>
      <c r="C1360" s="87" t="s">
        <v>4175</v>
      </c>
      <c r="D1360" s="79" t="s">
        <v>4176</v>
      </c>
      <c r="E1360" s="79" t="s">
        <v>4177</v>
      </c>
      <c r="F1360" s="12" t="s">
        <v>3606</v>
      </c>
      <c r="G1360" s="88" t="s">
        <v>16</v>
      </c>
      <c r="H1360" s="86"/>
      <c r="I1360" s="47">
        <v>5912</v>
      </c>
      <c r="J1360" s="16" t="s">
        <v>3255</v>
      </c>
    </row>
    <row r="1361" ht="30" spans="1:10">
      <c r="A1361" s="10">
        <v>1359</v>
      </c>
      <c r="B1361" s="10" t="s">
        <v>211</v>
      </c>
      <c r="C1361" s="87" t="s">
        <v>4178</v>
      </c>
      <c r="D1361" s="79" t="s">
        <v>4179</v>
      </c>
      <c r="E1361" s="80"/>
      <c r="F1361" s="14"/>
      <c r="G1361" s="88" t="s">
        <v>16</v>
      </c>
      <c r="H1361" s="90"/>
      <c r="I1361" s="51">
        <f>5912*0.3</f>
        <v>1773.6</v>
      </c>
      <c r="J1361" s="16" t="s">
        <v>3255</v>
      </c>
    </row>
    <row r="1362" ht="42.75" spans="1:10">
      <c r="A1362" s="10">
        <v>1360</v>
      </c>
      <c r="B1362" s="10" t="s">
        <v>211</v>
      </c>
      <c r="C1362" s="87" t="s">
        <v>4180</v>
      </c>
      <c r="D1362" s="79" t="s">
        <v>4181</v>
      </c>
      <c r="E1362" s="79" t="s">
        <v>4182</v>
      </c>
      <c r="F1362" s="12" t="s">
        <v>4183</v>
      </c>
      <c r="G1362" s="88" t="s">
        <v>16</v>
      </c>
      <c r="H1362" s="90"/>
      <c r="I1362" s="47">
        <v>4523.94</v>
      </c>
      <c r="J1362" s="16" t="s">
        <v>3255</v>
      </c>
    </row>
    <row r="1363" ht="30" spans="1:10">
      <c r="A1363" s="10">
        <v>1361</v>
      </c>
      <c r="B1363" s="10" t="s">
        <v>211</v>
      </c>
      <c r="C1363" s="87" t="s">
        <v>4184</v>
      </c>
      <c r="D1363" s="79" t="s">
        <v>4185</v>
      </c>
      <c r="E1363" s="14"/>
      <c r="F1363" s="14"/>
      <c r="G1363" s="88" t="s">
        <v>16</v>
      </c>
      <c r="H1363" s="83"/>
      <c r="I1363" s="51">
        <f>4524*0.3</f>
        <v>1357.2</v>
      </c>
      <c r="J1363" s="16" t="s">
        <v>3255</v>
      </c>
    </row>
    <row r="1364" ht="44.25" spans="1:10">
      <c r="A1364" s="10">
        <v>1362</v>
      </c>
      <c r="B1364" s="10" t="s">
        <v>211</v>
      </c>
      <c r="C1364" s="87" t="s">
        <v>4186</v>
      </c>
      <c r="D1364" s="79" t="s">
        <v>4187</v>
      </c>
      <c r="E1364" s="14"/>
      <c r="F1364" s="14"/>
      <c r="G1364" s="88" t="s">
        <v>16</v>
      </c>
      <c r="H1364" s="83"/>
      <c r="I1364" s="47">
        <v>904</v>
      </c>
      <c r="J1364" s="16" t="s">
        <v>3255</v>
      </c>
    </row>
    <row r="1365" ht="61.5" spans="1:10">
      <c r="A1365" s="10">
        <v>1363</v>
      </c>
      <c r="B1365" s="10" t="s">
        <v>211</v>
      </c>
      <c r="C1365" s="87" t="s">
        <v>4188</v>
      </c>
      <c r="D1365" s="79" t="s">
        <v>4189</v>
      </c>
      <c r="E1365" s="12" t="s">
        <v>4190</v>
      </c>
      <c r="F1365" s="12" t="s">
        <v>4064</v>
      </c>
      <c r="G1365" s="88" t="s">
        <v>16</v>
      </c>
      <c r="H1365" s="82" t="s">
        <v>3598</v>
      </c>
      <c r="I1365" s="47">
        <v>2611.7</v>
      </c>
      <c r="J1365" s="16" t="s">
        <v>3255</v>
      </c>
    </row>
    <row r="1366" ht="15.75" spans="1:10">
      <c r="A1366" s="10">
        <v>1364</v>
      </c>
      <c r="B1366" s="10" t="s">
        <v>211</v>
      </c>
      <c r="C1366" s="96" t="s">
        <v>4191</v>
      </c>
      <c r="D1366" s="12" t="s">
        <v>4192</v>
      </c>
      <c r="E1366" s="14"/>
      <c r="F1366" s="80"/>
      <c r="G1366" s="88" t="s">
        <v>16</v>
      </c>
      <c r="H1366" s="83"/>
      <c r="I1366" s="51">
        <f>2612*0.3</f>
        <v>783.6</v>
      </c>
      <c r="J1366" s="16" t="s">
        <v>3255</v>
      </c>
    </row>
    <row r="1367" ht="30" spans="1:10">
      <c r="A1367" s="10">
        <v>1365</v>
      </c>
      <c r="B1367" s="10" t="s">
        <v>211</v>
      </c>
      <c r="C1367" s="96" t="s">
        <v>4193</v>
      </c>
      <c r="D1367" s="12" t="s">
        <v>4194</v>
      </c>
      <c r="E1367" s="14"/>
      <c r="F1367" s="80"/>
      <c r="G1367" s="88" t="s">
        <v>16</v>
      </c>
      <c r="H1367" s="83"/>
      <c r="I1367" s="47">
        <v>784</v>
      </c>
      <c r="J1367" s="16" t="s">
        <v>3255</v>
      </c>
    </row>
    <row r="1368" ht="57" spans="1:10">
      <c r="A1368" s="10">
        <v>1366</v>
      </c>
      <c r="B1368" s="10" t="s">
        <v>211</v>
      </c>
      <c r="C1368" s="96" t="s">
        <v>4195</v>
      </c>
      <c r="D1368" s="12" t="s">
        <v>4196</v>
      </c>
      <c r="E1368" s="12" t="s">
        <v>4197</v>
      </c>
      <c r="F1368" s="79" t="s">
        <v>4198</v>
      </c>
      <c r="G1368" s="88" t="s">
        <v>16</v>
      </c>
      <c r="H1368" s="86"/>
      <c r="I1368" s="47">
        <v>3543.22</v>
      </c>
      <c r="J1368" s="16" t="s">
        <v>3255</v>
      </c>
    </row>
    <row r="1369" ht="30" spans="1:10">
      <c r="A1369" s="10">
        <v>1367</v>
      </c>
      <c r="B1369" s="10" t="s">
        <v>211</v>
      </c>
      <c r="C1369" s="96" t="s">
        <v>4199</v>
      </c>
      <c r="D1369" s="12" t="s">
        <v>4200</v>
      </c>
      <c r="E1369" s="80"/>
      <c r="F1369" s="14"/>
      <c r="G1369" s="88" t="s">
        <v>16</v>
      </c>
      <c r="H1369" s="83"/>
      <c r="I1369" s="51">
        <f>3543*0.3</f>
        <v>1062.9</v>
      </c>
      <c r="J1369" s="16" t="s">
        <v>3255</v>
      </c>
    </row>
    <row r="1370" ht="57" spans="1:10">
      <c r="A1370" s="10">
        <v>1368</v>
      </c>
      <c r="B1370" s="10" t="s">
        <v>211</v>
      </c>
      <c r="C1370" s="96" t="s">
        <v>4201</v>
      </c>
      <c r="D1370" s="12" t="s">
        <v>4202</v>
      </c>
      <c r="E1370" s="79" t="s">
        <v>4203</v>
      </c>
      <c r="F1370" s="12" t="s">
        <v>4204</v>
      </c>
      <c r="G1370" s="88" t="s">
        <v>16</v>
      </c>
      <c r="H1370" s="83"/>
      <c r="I1370" s="47">
        <v>3339.04</v>
      </c>
      <c r="J1370" s="16" t="s">
        <v>3255</v>
      </c>
    </row>
    <row r="1371" ht="30" spans="1:10">
      <c r="A1371" s="10">
        <v>1369</v>
      </c>
      <c r="B1371" s="10" t="s">
        <v>211</v>
      </c>
      <c r="C1371" s="87" t="s">
        <v>4205</v>
      </c>
      <c r="D1371" s="79" t="s">
        <v>4206</v>
      </c>
      <c r="E1371" s="80"/>
      <c r="F1371" s="80"/>
      <c r="G1371" s="88" t="s">
        <v>16</v>
      </c>
      <c r="H1371" s="86"/>
      <c r="I1371" s="51">
        <f>3339*0.3</f>
        <v>1001.7</v>
      </c>
      <c r="J1371" s="16" t="s">
        <v>3255</v>
      </c>
    </row>
    <row r="1372" ht="57" spans="1:10">
      <c r="A1372" s="10">
        <v>1370</v>
      </c>
      <c r="B1372" s="10" t="s">
        <v>211</v>
      </c>
      <c r="C1372" s="87" t="s">
        <v>4207</v>
      </c>
      <c r="D1372" s="79" t="s">
        <v>4208</v>
      </c>
      <c r="E1372" s="79" t="s">
        <v>4209</v>
      </c>
      <c r="F1372" s="79" t="s">
        <v>3740</v>
      </c>
      <c r="G1372" s="88" t="s">
        <v>16</v>
      </c>
      <c r="H1372" s="86"/>
      <c r="I1372" s="47">
        <v>2850.32</v>
      </c>
      <c r="J1372" s="16" t="s">
        <v>3255</v>
      </c>
    </row>
    <row r="1373" ht="30" spans="1:10">
      <c r="A1373" s="10">
        <v>1371</v>
      </c>
      <c r="B1373" s="10" t="s">
        <v>211</v>
      </c>
      <c r="C1373" s="87" t="s">
        <v>4210</v>
      </c>
      <c r="D1373" s="79" t="s">
        <v>4211</v>
      </c>
      <c r="E1373" s="80"/>
      <c r="F1373" s="80"/>
      <c r="G1373" s="88" t="s">
        <v>16</v>
      </c>
      <c r="H1373" s="86"/>
      <c r="I1373" s="51">
        <f>2850*0.3</f>
        <v>855</v>
      </c>
      <c r="J1373" s="16" t="s">
        <v>3255</v>
      </c>
    </row>
    <row r="1374" ht="57" spans="1:10">
      <c r="A1374" s="10">
        <v>1372</v>
      </c>
      <c r="B1374" s="10" t="s">
        <v>211</v>
      </c>
      <c r="C1374" s="87" t="s">
        <v>4212</v>
      </c>
      <c r="D1374" s="79" t="s">
        <v>4213</v>
      </c>
      <c r="E1374" s="79" t="s">
        <v>4214</v>
      </c>
      <c r="F1374" s="79" t="s">
        <v>3740</v>
      </c>
      <c r="G1374" s="88" t="s">
        <v>16</v>
      </c>
      <c r="H1374" s="86"/>
      <c r="I1374" s="47">
        <v>3115</v>
      </c>
      <c r="J1374" s="16" t="s">
        <v>3255</v>
      </c>
    </row>
    <row r="1375" ht="15.75" spans="1:10">
      <c r="A1375" s="10">
        <v>1373</v>
      </c>
      <c r="B1375" s="10" t="s">
        <v>211</v>
      </c>
      <c r="C1375" s="96" t="s">
        <v>4215</v>
      </c>
      <c r="D1375" s="12" t="s">
        <v>4216</v>
      </c>
      <c r="E1375" s="14"/>
      <c r="F1375" s="14"/>
      <c r="G1375" s="88" t="s">
        <v>16</v>
      </c>
      <c r="H1375" s="83"/>
      <c r="I1375" s="51">
        <f>3115*0.3</f>
        <v>934.5</v>
      </c>
      <c r="J1375" s="16" t="s">
        <v>3255</v>
      </c>
    </row>
    <row r="1376" ht="30" spans="1:10">
      <c r="A1376" s="10">
        <v>1374</v>
      </c>
      <c r="B1376" s="10" t="s">
        <v>211</v>
      </c>
      <c r="C1376" s="96" t="s">
        <v>4217</v>
      </c>
      <c r="D1376" s="12" t="s">
        <v>4218</v>
      </c>
      <c r="E1376" s="14"/>
      <c r="F1376" s="14"/>
      <c r="G1376" s="88" t="s">
        <v>16</v>
      </c>
      <c r="H1376" s="83"/>
      <c r="I1376" s="47">
        <v>623</v>
      </c>
      <c r="J1376" s="16" t="s">
        <v>3255</v>
      </c>
    </row>
    <row r="1377" ht="30" spans="1:10">
      <c r="A1377" s="10">
        <v>1375</v>
      </c>
      <c r="B1377" s="10" t="s">
        <v>211</v>
      </c>
      <c r="C1377" s="96" t="s">
        <v>4219</v>
      </c>
      <c r="D1377" s="12" t="s">
        <v>4220</v>
      </c>
      <c r="E1377" s="14"/>
      <c r="F1377" s="14"/>
      <c r="G1377" s="88" t="s">
        <v>16</v>
      </c>
      <c r="H1377" s="83"/>
      <c r="I1377" s="47">
        <v>3115</v>
      </c>
      <c r="J1377" s="16" t="s">
        <v>3255</v>
      </c>
    </row>
    <row r="1378" ht="77.25" spans="1:10">
      <c r="A1378" s="10">
        <v>1376</v>
      </c>
      <c r="B1378" s="10" t="s">
        <v>211</v>
      </c>
      <c r="C1378" s="96" t="s">
        <v>4221</v>
      </c>
      <c r="D1378" s="12" t="s">
        <v>4222</v>
      </c>
      <c r="E1378" s="12" t="s">
        <v>4223</v>
      </c>
      <c r="F1378" s="12" t="s">
        <v>4224</v>
      </c>
      <c r="G1378" s="88" t="s">
        <v>16</v>
      </c>
      <c r="H1378" s="83" t="s">
        <v>4225</v>
      </c>
      <c r="I1378" s="47">
        <v>3520</v>
      </c>
      <c r="J1378" s="16" t="s">
        <v>3255</v>
      </c>
    </row>
    <row r="1379" ht="30" spans="1:10">
      <c r="A1379" s="10">
        <v>1377</v>
      </c>
      <c r="B1379" s="10" t="s">
        <v>211</v>
      </c>
      <c r="C1379" s="96" t="s">
        <v>4226</v>
      </c>
      <c r="D1379" s="12" t="s">
        <v>4227</v>
      </c>
      <c r="E1379" s="14"/>
      <c r="F1379" s="14"/>
      <c r="G1379" s="88" t="s">
        <v>16</v>
      </c>
      <c r="H1379" s="83"/>
      <c r="I1379" s="51">
        <f>3520*0.3</f>
        <v>1056</v>
      </c>
      <c r="J1379" s="16" t="s">
        <v>3255</v>
      </c>
    </row>
    <row r="1380" ht="30" spans="1:10">
      <c r="A1380" s="10">
        <v>1378</v>
      </c>
      <c r="B1380" s="10" t="s">
        <v>211</v>
      </c>
      <c r="C1380" s="96" t="s">
        <v>4228</v>
      </c>
      <c r="D1380" s="12" t="s">
        <v>4229</v>
      </c>
      <c r="E1380" s="14"/>
      <c r="F1380" s="14"/>
      <c r="G1380" s="88" t="s">
        <v>16</v>
      </c>
      <c r="H1380" s="83"/>
      <c r="I1380" s="47">
        <v>3520</v>
      </c>
      <c r="J1380" s="16" t="s">
        <v>3255</v>
      </c>
    </row>
    <row r="1381" ht="75.75" spans="1:10">
      <c r="A1381" s="10">
        <v>1379</v>
      </c>
      <c r="B1381" s="10" t="s">
        <v>211</v>
      </c>
      <c r="C1381" s="96" t="s">
        <v>4230</v>
      </c>
      <c r="D1381" s="12" t="s">
        <v>4231</v>
      </c>
      <c r="E1381" s="12" t="s">
        <v>4232</v>
      </c>
      <c r="F1381" s="12" t="s">
        <v>4233</v>
      </c>
      <c r="G1381" s="88" t="s">
        <v>16</v>
      </c>
      <c r="H1381" s="83" t="s">
        <v>4234</v>
      </c>
      <c r="I1381" s="47">
        <v>2366</v>
      </c>
      <c r="J1381" s="16" t="s">
        <v>3255</v>
      </c>
    </row>
    <row r="1382" ht="15.75" spans="1:10">
      <c r="A1382" s="10">
        <v>1380</v>
      </c>
      <c r="B1382" s="10" t="s">
        <v>211</v>
      </c>
      <c r="C1382" s="87" t="s">
        <v>4235</v>
      </c>
      <c r="D1382" s="79" t="s">
        <v>4236</v>
      </c>
      <c r="E1382" s="14"/>
      <c r="F1382" s="14"/>
      <c r="G1382" s="88" t="s">
        <v>16</v>
      </c>
      <c r="H1382" s="83"/>
      <c r="I1382" s="51">
        <f>2366*0.3</f>
        <v>709.8</v>
      </c>
      <c r="J1382" s="16" t="s">
        <v>3255</v>
      </c>
    </row>
    <row r="1383" ht="61.5" spans="1:10">
      <c r="A1383" s="10">
        <v>1381</v>
      </c>
      <c r="B1383" s="10" t="s">
        <v>211</v>
      </c>
      <c r="C1383" s="87" t="s">
        <v>4237</v>
      </c>
      <c r="D1383" s="79" t="s">
        <v>4238</v>
      </c>
      <c r="E1383" s="12" t="s">
        <v>4239</v>
      </c>
      <c r="F1383" s="12" t="s">
        <v>4064</v>
      </c>
      <c r="G1383" s="88" t="s">
        <v>16</v>
      </c>
      <c r="H1383" s="82" t="s">
        <v>3598</v>
      </c>
      <c r="I1383" s="47">
        <v>2434.58</v>
      </c>
      <c r="J1383" s="16" t="s">
        <v>3255</v>
      </c>
    </row>
    <row r="1384" ht="15.75" spans="1:10">
      <c r="A1384" s="10">
        <v>1382</v>
      </c>
      <c r="B1384" s="10" t="s">
        <v>211</v>
      </c>
      <c r="C1384" s="100" t="s">
        <v>4240</v>
      </c>
      <c r="D1384" s="92" t="s">
        <v>4241</v>
      </c>
      <c r="E1384" s="14"/>
      <c r="F1384" s="14"/>
      <c r="G1384" s="88" t="s">
        <v>16</v>
      </c>
      <c r="H1384" s="83"/>
      <c r="I1384" s="51">
        <f>2435*0.3</f>
        <v>730.5</v>
      </c>
      <c r="J1384" s="16" t="s">
        <v>3255</v>
      </c>
    </row>
    <row r="1385" ht="30" spans="1:10">
      <c r="A1385" s="10">
        <v>1383</v>
      </c>
      <c r="B1385" s="10" t="s">
        <v>211</v>
      </c>
      <c r="C1385" s="100" t="s">
        <v>4242</v>
      </c>
      <c r="D1385" s="92" t="s">
        <v>4243</v>
      </c>
      <c r="E1385" s="14"/>
      <c r="F1385" s="14"/>
      <c r="G1385" s="88" t="s">
        <v>16</v>
      </c>
      <c r="H1385" s="83"/>
      <c r="I1385" s="47">
        <v>731</v>
      </c>
      <c r="J1385" s="16" t="s">
        <v>3255</v>
      </c>
    </row>
    <row r="1386" ht="57" spans="1:10">
      <c r="A1386" s="10">
        <v>1384</v>
      </c>
      <c r="B1386" s="10" t="s">
        <v>211</v>
      </c>
      <c r="C1386" s="100" t="s">
        <v>4244</v>
      </c>
      <c r="D1386" s="92" t="s">
        <v>4245</v>
      </c>
      <c r="E1386" s="12" t="s">
        <v>4246</v>
      </c>
      <c r="F1386" s="12" t="s">
        <v>4247</v>
      </c>
      <c r="G1386" s="88" t="s">
        <v>16</v>
      </c>
      <c r="H1386" s="83"/>
      <c r="I1386" s="47">
        <v>2074.6</v>
      </c>
      <c r="J1386" s="16" t="s">
        <v>3255</v>
      </c>
    </row>
    <row r="1387" ht="30" spans="1:10">
      <c r="A1387" s="10">
        <v>1385</v>
      </c>
      <c r="B1387" s="10" t="s">
        <v>211</v>
      </c>
      <c r="C1387" s="87" t="s">
        <v>4248</v>
      </c>
      <c r="D1387" s="79" t="s">
        <v>4249</v>
      </c>
      <c r="E1387" s="80"/>
      <c r="F1387" s="80"/>
      <c r="G1387" s="88" t="s">
        <v>16</v>
      </c>
      <c r="H1387" s="86"/>
      <c r="I1387" s="51">
        <f>2075*0.3</f>
        <v>622.5</v>
      </c>
      <c r="J1387" s="16" t="s">
        <v>3255</v>
      </c>
    </row>
    <row r="1388" ht="42.75" spans="1:10">
      <c r="A1388" s="10">
        <v>1386</v>
      </c>
      <c r="B1388" s="10" t="s">
        <v>211</v>
      </c>
      <c r="C1388" s="87" t="s">
        <v>4250</v>
      </c>
      <c r="D1388" s="79" t="s">
        <v>4251</v>
      </c>
      <c r="E1388" s="79" t="s">
        <v>4252</v>
      </c>
      <c r="F1388" s="79" t="s">
        <v>4253</v>
      </c>
      <c r="G1388" s="88" t="s">
        <v>369</v>
      </c>
      <c r="H1388" s="86"/>
      <c r="I1388" s="15">
        <v>1378</v>
      </c>
      <c r="J1388" s="16" t="s">
        <v>3255</v>
      </c>
    </row>
    <row r="1389" ht="30" spans="1:10">
      <c r="A1389" s="10">
        <v>1387</v>
      </c>
      <c r="B1389" s="10" t="s">
        <v>211</v>
      </c>
      <c r="C1389" s="87" t="s">
        <v>4254</v>
      </c>
      <c r="D1389" s="79" t="s">
        <v>4255</v>
      </c>
      <c r="E1389" s="80"/>
      <c r="F1389" s="80"/>
      <c r="G1389" s="88" t="s">
        <v>369</v>
      </c>
      <c r="H1389" s="86"/>
      <c r="I1389" s="51">
        <f>1378*0.3</f>
        <v>413.4</v>
      </c>
      <c r="J1389" s="16" t="s">
        <v>3255</v>
      </c>
    </row>
    <row r="1390" ht="42.75" spans="1:10">
      <c r="A1390" s="10">
        <v>1388</v>
      </c>
      <c r="B1390" s="10" t="s">
        <v>211</v>
      </c>
      <c r="C1390" s="87" t="s">
        <v>4256</v>
      </c>
      <c r="D1390" s="79" t="s">
        <v>4257</v>
      </c>
      <c r="E1390" s="79" t="s">
        <v>4258</v>
      </c>
      <c r="F1390" s="79" t="s">
        <v>4253</v>
      </c>
      <c r="G1390" s="88" t="s">
        <v>16</v>
      </c>
      <c r="H1390" s="86"/>
      <c r="I1390" s="15">
        <v>1854</v>
      </c>
      <c r="J1390" s="16" t="s">
        <v>3255</v>
      </c>
    </row>
    <row r="1391" ht="30" spans="1:10">
      <c r="A1391" s="10">
        <v>1389</v>
      </c>
      <c r="B1391" s="10" t="s">
        <v>211</v>
      </c>
      <c r="C1391" s="87" t="s">
        <v>4259</v>
      </c>
      <c r="D1391" s="79" t="s">
        <v>4260</v>
      </c>
      <c r="E1391" s="80"/>
      <c r="F1391" s="80"/>
      <c r="G1391" s="88" t="s">
        <v>16</v>
      </c>
      <c r="H1391" s="86"/>
      <c r="I1391" s="51">
        <f>1854*0.3</f>
        <v>556.2</v>
      </c>
      <c r="J1391" s="16" t="s">
        <v>3255</v>
      </c>
    </row>
    <row r="1392" ht="42.75" spans="1:10">
      <c r="A1392" s="10">
        <v>1390</v>
      </c>
      <c r="B1392" s="10" t="s">
        <v>211</v>
      </c>
      <c r="C1392" s="87" t="s">
        <v>4261</v>
      </c>
      <c r="D1392" s="79" t="s">
        <v>4262</v>
      </c>
      <c r="E1392" s="79" t="s">
        <v>4263</v>
      </c>
      <c r="F1392" s="79" t="s">
        <v>4253</v>
      </c>
      <c r="G1392" s="88" t="s">
        <v>369</v>
      </c>
      <c r="H1392" s="86"/>
      <c r="I1392" s="15">
        <v>1338</v>
      </c>
      <c r="J1392" s="16" t="s">
        <v>3255</v>
      </c>
    </row>
    <row r="1393" ht="30" spans="1:10">
      <c r="A1393" s="10">
        <v>1391</v>
      </c>
      <c r="B1393" s="10" t="s">
        <v>211</v>
      </c>
      <c r="C1393" s="101" t="s">
        <v>4264</v>
      </c>
      <c r="D1393" s="35" t="s">
        <v>4265</v>
      </c>
      <c r="E1393" s="94"/>
      <c r="F1393" s="94"/>
      <c r="G1393" s="88" t="s">
        <v>369</v>
      </c>
      <c r="H1393" s="95"/>
      <c r="I1393" s="51">
        <f>1338*0.3</f>
        <v>401.4</v>
      </c>
      <c r="J1393" s="16" t="s">
        <v>3255</v>
      </c>
    </row>
    <row r="1394" ht="57" spans="1:10">
      <c r="A1394" s="10">
        <v>1392</v>
      </c>
      <c r="B1394" s="10" t="s">
        <v>211</v>
      </c>
      <c r="C1394" s="10" t="s">
        <v>4266</v>
      </c>
      <c r="D1394" s="22" t="s">
        <v>4267</v>
      </c>
      <c r="E1394" s="22" t="s">
        <v>4268</v>
      </c>
      <c r="F1394" s="22" t="s">
        <v>4269</v>
      </c>
      <c r="G1394" s="13" t="s">
        <v>16</v>
      </c>
      <c r="H1394" s="20"/>
      <c r="I1394" s="47">
        <v>5291.46</v>
      </c>
      <c r="J1394" s="16" t="s">
        <v>4270</v>
      </c>
    </row>
    <row r="1395" ht="30" spans="1:10">
      <c r="A1395" s="10">
        <v>1393</v>
      </c>
      <c r="B1395" s="10" t="s">
        <v>211</v>
      </c>
      <c r="C1395" s="96" t="s">
        <v>4271</v>
      </c>
      <c r="D1395" s="22" t="s">
        <v>4272</v>
      </c>
      <c r="E1395" s="20"/>
      <c r="F1395" s="20"/>
      <c r="G1395" s="13" t="s">
        <v>16</v>
      </c>
      <c r="H1395" s="20"/>
      <c r="I1395" s="51">
        <f>5291*0.3</f>
        <v>1587.3</v>
      </c>
      <c r="J1395" s="16" t="s">
        <v>4270</v>
      </c>
    </row>
    <row r="1396" ht="57" spans="1:10">
      <c r="A1396" s="10">
        <v>1394</v>
      </c>
      <c r="B1396" s="10" t="s">
        <v>211</v>
      </c>
      <c r="C1396" s="10" t="s">
        <v>4273</v>
      </c>
      <c r="D1396" s="22" t="s">
        <v>4274</v>
      </c>
      <c r="E1396" s="22" t="s">
        <v>4275</v>
      </c>
      <c r="F1396" s="22" t="s">
        <v>4276</v>
      </c>
      <c r="G1396" s="13" t="s">
        <v>16</v>
      </c>
      <c r="H1396" s="22" t="s">
        <v>4277</v>
      </c>
      <c r="I1396" s="47">
        <v>2311.58</v>
      </c>
      <c r="J1396" s="16" t="s">
        <v>4270</v>
      </c>
    </row>
    <row r="1397" ht="30" spans="1:10">
      <c r="A1397" s="10">
        <v>1395</v>
      </c>
      <c r="B1397" s="10" t="s">
        <v>211</v>
      </c>
      <c r="C1397" s="96" t="s">
        <v>4278</v>
      </c>
      <c r="D1397" s="22" t="s">
        <v>4279</v>
      </c>
      <c r="E1397" s="20"/>
      <c r="F1397" s="20"/>
      <c r="G1397" s="13" t="s">
        <v>16</v>
      </c>
      <c r="H1397" s="20"/>
      <c r="I1397" s="51">
        <f>2312*0.3</f>
        <v>693.6</v>
      </c>
      <c r="J1397" s="16" t="s">
        <v>4270</v>
      </c>
    </row>
    <row r="1398" ht="30" spans="1:10">
      <c r="A1398" s="10">
        <v>1396</v>
      </c>
      <c r="B1398" s="10" t="s">
        <v>211</v>
      </c>
      <c r="C1398" s="10" t="s">
        <v>4280</v>
      </c>
      <c r="D1398" s="22" t="s">
        <v>4281</v>
      </c>
      <c r="E1398" s="20"/>
      <c r="F1398" s="20"/>
      <c r="G1398" s="13" t="s">
        <v>16</v>
      </c>
      <c r="H1398" s="20"/>
      <c r="I1398" s="47">
        <v>2311.58</v>
      </c>
      <c r="J1398" s="16" t="s">
        <v>4270</v>
      </c>
    </row>
    <row r="1399" ht="58.5" spans="1:10">
      <c r="A1399" s="10">
        <v>1397</v>
      </c>
      <c r="B1399" s="10" t="s">
        <v>211</v>
      </c>
      <c r="C1399" s="10" t="s">
        <v>4282</v>
      </c>
      <c r="D1399" s="22" t="s">
        <v>4283</v>
      </c>
      <c r="E1399" s="22" t="s">
        <v>4284</v>
      </c>
      <c r="F1399" s="22" t="s">
        <v>4285</v>
      </c>
      <c r="G1399" s="13" t="s">
        <v>369</v>
      </c>
      <c r="H1399" s="22" t="s">
        <v>4277</v>
      </c>
      <c r="I1399" s="47">
        <v>2015</v>
      </c>
      <c r="J1399" s="16" t="s">
        <v>4270</v>
      </c>
    </row>
    <row r="1400" ht="30" spans="1:10">
      <c r="A1400" s="10">
        <v>1398</v>
      </c>
      <c r="B1400" s="10" t="s">
        <v>211</v>
      </c>
      <c r="C1400" s="10" t="s">
        <v>4286</v>
      </c>
      <c r="D1400" s="22" t="s">
        <v>4287</v>
      </c>
      <c r="E1400" s="20"/>
      <c r="F1400" s="20"/>
      <c r="G1400" s="13" t="s">
        <v>369</v>
      </c>
      <c r="H1400" s="20"/>
      <c r="I1400" s="51">
        <f>2015*0.3</f>
        <v>604.5</v>
      </c>
      <c r="J1400" s="16" t="s">
        <v>4270</v>
      </c>
    </row>
    <row r="1401" ht="57" spans="1:10">
      <c r="A1401" s="10">
        <v>1399</v>
      </c>
      <c r="B1401" s="10" t="s">
        <v>211</v>
      </c>
      <c r="C1401" s="10" t="s">
        <v>4288</v>
      </c>
      <c r="D1401" s="22" t="s">
        <v>4289</v>
      </c>
      <c r="E1401" s="22" t="s">
        <v>4290</v>
      </c>
      <c r="F1401" s="22" t="s">
        <v>4276</v>
      </c>
      <c r="G1401" s="13" t="s">
        <v>16</v>
      </c>
      <c r="H1401" s="22" t="s">
        <v>4277</v>
      </c>
      <c r="I1401" s="47">
        <v>2296</v>
      </c>
      <c r="J1401" s="16" t="s">
        <v>4270</v>
      </c>
    </row>
    <row r="1402" ht="30" spans="1:10">
      <c r="A1402" s="10">
        <v>1400</v>
      </c>
      <c r="B1402" s="10" t="s">
        <v>211</v>
      </c>
      <c r="C1402" s="96" t="s">
        <v>4291</v>
      </c>
      <c r="D1402" s="22" t="s">
        <v>4292</v>
      </c>
      <c r="E1402" s="20"/>
      <c r="F1402" s="20"/>
      <c r="G1402" s="13" t="s">
        <v>16</v>
      </c>
      <c r="H1402" s="20"/>
      <c r="I1402" s="51">
        <f>2296*0.3</f>
        <v>688.8</v>
      </c>
      <c r="J1402" s="16" t="s">
        <v>4270</v>
      </c>
    </row>
    <row r="1403" ht="57" spans="1:10">
      <c r="A1403" s="10">
        <v>1401</v>
      </c>
      <c r="B1403" s="10" t="s">
        <v>211</v>
      </c>
      <c r="C1403" s="10" t="s">
        <v>4293</v>
      </c>
      <c r="D1403" s="22" t="s">
        <v>4294</v>
      </c>
      <c r="E1403" s="22" t="s">
        <v>4295</v>
      </c>
      <c r="F1403" s="22" t="s">
        <v>4276</v>
      </c>
      <c r="G1403" s="13" t="s">
        <v>16</v>
      </c>
      <c r="H1403" s="22" t="s">
        <v>4277</v>
      </c>
      <c r="I1403" s="47">
        <v>2296</v>
      </c>
      <c r="J1403" s="16" t="s">
        <v>4270</v>
      </c>
    </row>
    <row r="1404" ht="30" spans="1:10">
      <c r="A1404" s="10">
        <v>1402</v>
      </c>
      <c r="B1404" s="10" t="s">
        <v>211</v>
      </c>
      <c r="C1404" s="10" t="s">
        <v>4296</v>
      </c>
      <c r="D1404" s="22" t="s">
        <v>4297</v>
      </c>
      <c r="E1404" s="20"/>
      <c r="F1404" s="20"/>
      <c r="G1404" s="13" t="s">
        <v>16</v>
      </c>
      <c r="H1404" s="20"/>
      <c r="I1404" s="51">
        <f>2296*0.3</f>
        <v>688.8</v>
      </c>
      <c r="J1404" s="16" t="s">
        <v>4270</v>
      </c>
    </row>
    <row r="1405" ht="94.5" spans="1:10">
      <c r="A1405" s="10">
        <v>1403</v>
      </c>
      <c r="B1405" s="10" t="s">
        <v>211</v>
      </c>
      <c r="C1405" s="10" t="s">
        <v>4298</v>
      </c>
      <c r="D1405" s="22" t="s">
        <v>4299</v>
      </c>
      <c r="E1405" s="22" t="s">
        <v>4300</v>
      </c>
      <c r="F1405" s="22" t="s">
        <v>4301</v>
      </c>
      <c r="G1405" s="13" t="s">
        <v>16</v>
      </c>
      <c r="H1405" s="20" t="s">
        <v>4302</v>
      </c>
      <c r="I1405" s="47">
        <v>2800</v>
      </c>
      <c r="J1405" s="16" t="s">
        <v>4270</v>
      </c>
    </row>
    <row r="1406" ht="30" spans="1:10">
      <c r="A1406" s="10">
        <v>1404</v>
      </c>
      <c r="B1406" s="10" t="s">
        <v>211</v>
      </c>
      <c r="C1406" s="10" t="s">
        <v>4303</v>
      </c>
      <c r="D1406" s="22" t="s">
        <v>4304</v>
      </c>
      <c r="E1406" s="20"/>
      <c r="F1406" s="20"/>
      <c r="G1406" s="13" t="s">
        <v>16</v>
      </c>
      <c r="H1406" s="20"/>
      <c r="I1406" s="51">
        <f>2800*0.3</f>
        <v>840</v>
      </c>
      <c r="J1406" s="16" t="s">
        <v>4270</v>
      </c>
    </row>
    <row r="1407" ht="75.75" spans="1:10">
      <c r="A1407" s="10">
        <v>1405</v>
      </c>
      <c r="B1407" s="10" t="s">
        <v>211</v>
      </c>
      <c r="C1407" s="10" t="s">
        <v>4305</v>
      </c>
      <c r="D1407" s="22" t="s">
        <v>4306</v>
      </c>
      <c r="E1407" s="22" t="s">
        <v>4307</v>
      </c>
      <c r="F1407" s="22" t="s">
        <v>4276</v>
      </c>
      <c r="G1407" s="13" t="s">
        <v>16</v>
      </c>
      <c r="H1407" s="22" t="s">
        <v>4308</v>
      </c>
      <c r="I1407" s="47">
        <v>3444</v>
      </c>
      <c r="J1407" s="16" t="s">
        <v>4270</v>
      </c>
    </row>
    <row r="1408" ht="30" spans="1:10">
      <c r="A1408" s="10">
        <v>1406</v>
      </c>
      <c r="B1408" s="10" t="s">
        <v>211</v>
      </c>
      <c r="C1408" s="10" t="s">
        <v>4309</v>
      </c>
      <c r="D1408" s="22" t="s">
        <v>4310</v>
      </c>
      <c r="E1408" s="20"/>
      <c r="F1408" s="20"/>
      <c r="G1408" s="13" t="s">
        <v>16</v>
      </c>
      <c r="H1408" s="20"/>
      <c r="I1408" s="51">
        <f>3444*0.3</f>
        <v>1033.2</v>
      </c>
      <c r="J1408" s="16" t="s">
        <v>4270</v>
      </c>
    </row>
    <row r="1409" ht="57" spans="1:10">
      <c r="A1409" s="10">
        <v>1407</v>
      </c>
      <c r="B1409" s="10" t="s">
        <v>211</v>
      </c>
      <c r="C1409" s="10" t="s">
        <v>4311</v>
      </c>
      <c r="D1409" s="22" t="s">
        <v>4312</v>
      </c>
      <c r="E1409" s="22" t="s">
        <v>4313</v>
      </c>
      <c r="F1409" s="22" t="s">
        <v>4314</v>
      </c>
      <c r="G1409" s="13" t="s">
        <v>16</v>
      </c>
      <c r="H1409" s="20"/>
      <c r="I1409" s="47">
        <v>2225</v>
      </c>
      <c r="J1409" s="16" t="s">
        <v>4270</v>
      </c>
    </row>
    <row r="1410" ht="30" spans="1:10">
      <c r="A1410" s="10">
        <v>1408</v>
      </c>
      <c r="B1410" s="10" t="s">
        <v>211</v>
      </c>
      <c r="C1410" s="10" t="s">
        <v>4315</v>
      </c>
      <c r="D1410" s="22" t="s">
        <v>4316</v>
      </c>
      <c r="E1410" s="20"/>
      <c r="F1410" s="20"/>
      <c r="G1410" s="13" t="s">
        <v>16</v>
      </c>
      <c r="H1410" s="20"/>
      <c r="I1410" s="51">
        <f>2225*0.3</f>
        <v>667.5</v>
      </c>
      <c r="J1410" s="16" t="s">
        <v>4270</v>
      </c>
    </row>
    <row r="1411" ht="57" spans="1:10">
      <c r="A1411" s="10">
        <v>1409</v>
      </c>
      <c r="B1411" s="10" t="s">
        <v>211</v>
      </c>
      <c r="C1411" s="10" t="s">
        <v>4317</v>
      </c>
      <c r="D1411" s="22" t="s">
        <v>4318</v>
      </c>
      <c r="E1411" s="22" t="s">
        <v>4319</v>
      </c>
      <c r="F1411" s="22" t="s">
        <v>3740</v>
      </c>
      <c r="G1411" s="13" t="s">
        <v>16</v>
      </c>
      <c r="H1411" s="20"/>
      <c r="I1411" s="47">
        <v>1546</v>
      </c>
      <c r="J1411" s="16" t="s">
        <v>4270</v>
      </c>
    </row>
    <row r="1412" ht="30" spans="1:10">
      <c r="A1412" s="10">
        <v>1410</v>
      </c>
      <c r="B1412" s="10" t="s">
        <v>211</v>
      </c>
      <c r="C1412" s="10" t="s">
        <v>4320</v>
      </c>
      <c r="D1412" s="22" t="s">
        <v>4321</v>
      </c>
      <c r="E1412" s="20"/>
      <c r="F1412" s="20"/>
      <c r="G1412" s="13" t="s">
        <v>16</v>
      </c>
      <c r="H1412" s="20"/>
      <c r="I1412" s="51">
        <f>1546*0.3</f>
        <v>463.8</v>
      </c>
      <c r="J1412" s="16" t="s">
        <v>4270</v>
      </c>
    </row>
    <row r="1413" ht="30" spans="1:10">
      <c r="A1413" s="10">
        <v>1411</v>
      </c>
      <c r="B1413" s="10" t="s">
        <v>211</v>
      </c>
      <c r="C1413" s="10" t="s">
        <v>4322</v>
      </c>
      <c r="D1413" s="22" t="s">
        <v>4323</v>
      </c>
      <c r="E1413" s="20"/>
      <c r="F1413" s="20"/>
      <c r="G1413" s="13" t="s">
        <v>16</v>
      </c>
      <c r="H1413" s="20"/>
      <c r="I1413" s="47">
        <v>1546</v>
      </c>
      <c r="J1413" s="16" t="s">
        <v>4270</v>
      </c>
    </row>
    <row r="1414" ht="30" spans="1:10">
      <c r="A1414" s="10">
        <v>1412</v>
      </c>
      <c r="B1414" s="10" t="s">
        <v>211</v>
      </c>
      <c r="C1414" s="10" t="s">
        <v>4324</v>
      </c>
      <c r="D1414" s="22" t="s">
        <v>4325</v>
      </c>
      <c r="E1414" s="20"/>
      <c r="F1414" s="20"/>
      <c r="G1414" s="13" t="s">
        <v>16</v>
      </c>
      <c r="H1414" s="20"/>
      <c r="I1414" s="47">
        <v>773</v>
      </c>
      <c r="J1414" s="16" t="s">
        <v>4270</v>
      </c>
    </row>
    <row r="1415" ht="57" spans="1:10">
      <c r="A1415" s="10">
        <v>1413</v>
      </c>
      <c r="B1415" s="10" t="s">
        <v>211</v>
      </c>
      <c r="C1415" s="10" t="s">
        <v>4326</v>
      </c>
      <c r="D1415" s="22" t="s">
        <v>4327</v>
      </c>
      <c r="E1415" s="22" t="s">
        <v>4328</v>
      </c>
      <c r="F1415" s="22" t="s">
        <v>3740</v>
      </c>
      <c r="G1415" s="13" t="s">
        <v>16</v>
      </c>
      <c r="H1415" s="22" t="s">
        <v>4329</v>
      </c>
      <c r="I1415" s="15">
        <v>1066</v>
      </c>
      <c r="J1415" s="16" t="s">
        <v>4270</v>
      </c>
    </row>
    <row r="1416" ht="30" spans="1:10">
      <c r="A1416" s="10">
        <v>1414</v>
      </c>
      <c r="B1416" s="10" t="s">
        <v>211</v>
      </c>
      <c r="C1416" s="10" t="s">
        <v>4330</v>
      </c>
      <c r="D1416" s="22" t="s">
        <v>4331</v>
      </c>
      <c r="E1416" s="20"/>
      <c r="F1416" s="20"/>
      <c r="G1416" s="13" t="s">
        <v>16</v>
      </c>
      <c r="H1416" s="20"/>
      <c r="I1416" s="51">
        <f>1066*0.3</f>
        <v>319.8</v>
      </c>
      <c r="J1416" s="16" t="s">
        <v>4270</v>
      </c>
    </row>
    <row r="1417" ht="30" spans="1:10">
      <c r="A1417" s="10">
        <v>1415</v>
      </c>
      <c r="B1417" s="10" t="s">
        <v>211</v>
      </c>
      <c r="C1417" s="10" t="s">
        <v>4332</v>
      </c>
      <c r="D1417" s="22" t="s">
        <v>4333</v>
      </c>
      <c r="E1417" s="20"/>
      <c r="F1417" s="20"/>
      <c r="G1417" s="13" t="s">
        <v>16</v>
      </c>
      <c r="H1417" s="20"/>
      <c r="I1417" s="15">
        <v>1066</v>
      </c>
      <c r="J1417" s="16" t="s">
        <v>4270</v>
      </c>
    </row>
    <row r="1418" ht="30" spans="1:10">
      <c r="A1418" s="10">
        <v>1416</v>
      </c>
      <c r="B1418" s="10" t="s">
        <v>211</v>
      </c>
      <c r="C1418" s="10" t="s">
        <v>4334</v>
      </c>
      <c r="D1418" s="22" t="s">
        <v>4335</v>
      </c>
      <c r="E1418" s="20"/>
      <c r="F1418" s="20"/>
      <c r="G1418" s="13" t="s">
        <v>16</v>
      </c>
      <c r="H1418" s="20"/>
      <c r="I1418" s="47">
        <v>533</v>
      </c>
      <c r="J1418" s="16" t="s">
        <v>4270</v>
      </c>
    </row>
    <row r="1419" ht="42.75" spans="1:10">
      <c r="A1419" s="10">
        <v>1417</v>
      </c>
      <c r="B1419" s="10" t="s">
        <v>177</v>
      </c>
      <c r="C1419" s="10" t="s">
        <v>4336</v>
      </c>
      <c r="D1419" s="22" t="s">
        <v>4337</v>
      </c>
      <c r="E1419" s="22" t="s">
        <v>4338</v>
      </c>
      <c r="F1419" s="22" t="s">
        <v>4339</v>
      </c>
      <c r="G1419" s="13" t="s">
        <v>369</v>
      </c>
      <c r="H1419" s="20"/>
      <c r="I1419" s="47">
        <v>420</v>
      </c>
      <c r="J1419" s="16" t="s">
        <v>4270</v>
      </c>
    </row>
    <row r="1420" ht="42.75" spans="1:10">
      <c r="A1420" s="10">
        <v>1418</v>
      </c>
      <c r="B1420" s="10" t="s">
        <v>11</v>
      </c>
      <c r="C1420" s="10" t="s">
        <v>4340</v>
      </c>
      <c r="D1420" s="22" t="s">
        <v>4341</v>
      </c>
      <c r="E1420" s="22" t="s">
        <v>4342</v>
      </c>
      <c r="F1420" s="22" t="s">
        <v>449</v>
      </c>
      <c r="G1420" s="13" t="s">
        <v>369</v>
      </c>
      <c r="H1420" s="20"/>
      <c r="I1420" s="47">
        <v>38</v>
      </c>
      <c r="J1420" s="16" t="s">
        <v>4270</v>
      </c>
    </row>
    <row r="1421" ht="58.5" spans="1:10">
      <c r="A1421" s="10">
        <v>1419</v>
      </c>
      <c r="B1421" s="10" t="s">
        <v>211</v>
      </c>
      <c r="C1421" s="10" t="s">
        <v>4343</v>
      </c>
      <c r="D1421" s="22" t="s">
        <v>4344</v>
      </c>
      <c r="E1421" s="22" t="s">
        <v>4345</v>
      </c>
      <c r="F1421" s="22" t="s">
        <v>4346</v>
      </c>
      <c r="G1421" s="13" t="s">
        <v>369</v>
      </c>
      <c r="H1421" s="40"/>
      <c r="I1421" s="47">
        <v>1127</v>
      </c>
      <c r="J1421" s="16" t="s">
        <v>4270</v>
      </c>
    </row>
    <row r="1422" ht="30" spans="1:10">
      <c r="A1422" s="10">
        <v>1420</v>
      </c>
      <c r="B1422" s="10" t="s">
        <v>211</v>
      </c>
      <c r="C1422" s="10" t="s">
        <v>4347</v>
      </c>
      <c r="D1422" s="22" t="s">
        <v>4348</v>
      </c>
      <c r="E1422" s="20"/>
      <c r="F1422" s="20"/>
      <c r="G1422" s="13" t="s">
        <v>369</v>
      </c>
      <c r="H1422" s="20"/>
      <c r="I1422" s="51">
        <f>1127*0.3</f>
        <v>338.1</v>
      </c>
      <c r="J1422" s="16" t="s">
        <v>4270</v>
      </c>
    </row>
    <row r="1423" ht="30" spans="1:10">
      <c r="A1423" s="10">
        <v>1421</v>
      </c>
      <c r="B1423" s="10" t="s">
        <v>211</v>
      </c>
      <c r="C1423" s="10" t="s">
        <v>4349</v>
      </c>
      <c r="D1423" s="22" t="s">
        <v>4350</v>
      </c>
      <c r="E1423" s="22" t="s">
        <v>4345</v>
      </c>
      <c r="F1423" s="20"/>
      <c r="G1423" s="13" t="s">
        <v>369</v>
      </c>
      <c r="H1423" s="20"/>
      <c r="I1423" s="47">
        <v>564</v>
      </c>
      <c r="J1423" s="16" t="s">
        <v>4270</v>
      </c>
    </row>
    <row r="1424" ht="57" spans="1:10">
      <c r="A1424" s="10">
        <v>1422</v>
      </c>
      <c r="B1424" s="10" t="s">
        <v>211</v>
      </c>
      <c r="C1424" s="10" t="s">
        <v>4351</v>
      </c>
      <c r="D1424" s="22" t="s">
        <v>4352</v>
      </c>
      <c r="E1424" s="22" t="s">
        <v>4353</v>
      </c>
      <c r="F1424" s="22" t="s">
        <v>3740</v>
      </c>
      <c r="G1424" s="13" t="s">
        <v>369</v>
      </c>
      <c r="H1424" s="22" t="s">
        <v>4354</v>
      </c>
      <c r="I1424" s="47">
        <v>1440.74</v>
      </c>
      <c r="J1424" s="16" t="s">
        <v>4270</v>
      </c>
    </row>
    <row r="1425" ht="30" spans="1:10">
      <c r="A1425" s="10">
        <v>1423</v>
      </c>
      <c r="B1425" s="10" t="s">
        <v>211</v>
      </c>
      <c r="C1425" s="10" t="s">
        <v>4355</v>
      </c>
      <c r="D1425" s="22" t="s">
        <v>4356</v>
      </c>
      <c r="E1425" s="20"/>
      <c r="F1425" s="20"/>
      <c r="G1425" s="13" t="s">
        <v>369</v>
      </c>
      <c r="H1425" s="18"/>
      <c r="I1425" s="51">
        <f>1441*0.3</f>
        <v>432.3</v>
      </c>
      <c r="J1425" s="16" t="s">
        <v>4270</v>
      </c>
    </row>
    <row r="1426" ht="30" spans="1:10">
      <c r="A1426" s="10">
        <v>1424</v>
      </c>
      <c r="B1426" s="10" t="s">
        <v>211</v>
      </c>
      <c r="C1426" s="10" t="s">
        <v>4357</v>
      </c>
      <c r="D1426" s="22" t="s">
        <v>4358</v>
      </c>
      <c r="E1426" s="20"/>
      <c r="F1426" s="20"/>
      <c r="G1426" s="13" t="s">
        <v>369</v>
      </c>
      <c r="H1426" s="18"/>
      <c r="I1426" s="47">
        <v>1032</v>
      </c>
      <c r="J1426" s="16" t="s">
        <v>4270</v>
      </c>
    </row>
    <row r="1427" ht="91.5" spans="1:10">
      <c r="A1427" s="10">
        <v>1425</v>
      </c>
      <c r="B1427" s="10" t="s">
        <v>211</v>
      </c>
      <c r="C1427" s="10" t="s">
        <v>4359</v>
      </c>
      <c r="D1427" s="22" t="s">
        <v>4360</v>
      </c>
      <c r="E1427" s="22" t="s">
        <v>4361</v>
      </c>
      <c r="F1427" s="22" t="s">
        <v>3740</v>
      </c>
      <c r="G1427" s="13" t="s">
        <v>369</v>
      </c>
      <c r="H1427" s="20" t="s">
        <v>4362</v>
      </c>
      <c r="I1427" s="47">
        <v>2472.3</v>
      </c>
      <c r="J1427" s="16" t="s">
        <v>4270</v>
      </c>
    </row>
    <row r="1428" ht="30" spans="1:10">
      <c r="A1428" s="10">
        <v>1426</v>
      </c>
      <c r="B1428" s="10" t="s">
        <v>211</v>
      </c>
      <c r="C1428" s="10" t="s">
        <v>4363</v>
      </c>
      <c r="D1428" s="22" t="s">
        <v>4364</v>
      </c>
      <c r="E1428" s="20"/>
      <c r="F1428" s="20"/>
      <c r="G1428" s="13" t="s">
        <v>369</v>
      </c>
      <c r="H1428" s="20"/>
      <c r="I1428" s="51">
        <f>2472*0.3</f>
        <v>741.6</v>
      </c>
      <c r="J1428" s="16" t="s">
        <v>4270</v>
      </c>
    </row>
    <row r="1429" ht="91.5" spans="1:10">
      <c r="A1429" s="10">
        <v>1427</v>
      </c>
      <c r="B1429" s="10" t="s">
        <v>211</v>
      </c>
      <c r="C1429" s="10" t="s">
        <v>4365</v>
      </c>
      <c r="D1429" s="22" t="s">
        <v>4366</v>
      </c>
      <c r="E1429" s="20"/>
      <c r="F1429" s="20"/>
      <c r="G1429" s="13" t="s">
        <v>369</v>
      </c>
      <c r="H1429" s="20" t="s">
        <v>4362</v>
      </c>
      <c r="I1429" s="47">
        <v>1237</v>
      </c>
      <c r="J1429" s="16" t="s">
        <v>4270</v>
      </c>
    </row>
    <row r="1430" ht="31.5" spans="1:10">
      <c r="A1430" s="10">
        <v>1428</v>
      </c>
      <c r="B1430" s="10" t="s">
        <v>211</v>
      </c>
      <c r="C1430" s="10" t="s">
        <v>4367</v>
      </c>
      <c r="D1430" s="22" t="s">
        <v>4368</v>
      </c>
      <c r="E1430" s="20"/>
      <c r="F1430" s="20"/>
      <c r="G1430" s="13" t="s">
        <v>369</v>
      </c>
      <c r="H1430" s="20"/>
      <c r="I1430" s="47">
        <v>1409</v>
      </c>
      <c r="J1430" s="16" t="s">
        <v>4270</v>
      </c>
    </row>
    <row r="1431" ht="57" spans="1:10">
      <c r="A1431" s="10">
        <v>1429</v>
      </c>
      <c r="B1431" s="10" t="s">
        <v>211</v>
      </c>
      <c r="C1431" s="10" t="s">
        <v>4369</v>
      </c>
      <c r="D1431" s="22" t="s">
        <v>4370</v>
      </c>
      <c r="E1431" s="22" t="s">
        <v>4371</v>
      </c>
      <c r="F1431" s="22" t="s">
        <v>3740</v>
      </c>
      <c r="G1431" s="13" t="s">
        <v>369</v>
      </c>
      <c r="H1431" s="20"/>
      <c r="I1431" s="47">
        <v>1108.64</v>
      </c>
      <c r="J1431" s="16" t="s">
        <v>4270</v>
      </c>
    </row>
    <row r="1432" ht="30" spans="1:10">
      <c r="A1432" s="10">
        <v>1430</v>
      </c>
      <c r="B1432" s="10" t="s">
        <v>211</v>
      </c>
      <c r="C1432" s="10" t="s">
        <v>4372</v>
      </c>
      <c r="D1432" s="22" t="s">
        <v>4373</v>
      </c>
      <c r="E1432" s="20"/>
      <c r="F1432" s="20"/>
      <c r="G1432" s="13" t="s">
        <v>369</v>
      </c>
      <c r="H1432" s="40"/>
      <c r="I1432" s="51">
        <f>1109*0.3</f>
        <v>332.7</v>
      </c>
      <c r="J1432" s="16" t="s">
        <v>4270</v>
      </c>
    </row>
    <row r="1433" ht="57" spans="1:10">
      <c r="A1433" s="10">
        <v>1431</v>
      </c>
      <c r="B1433" s="10" t="s">
        <v>211</v>
      </c>
      <c r="C1433" s="10" t="s">
        <v>4374</v>
      </c>
      <c r="D1433" s="22" t="s">
        <v>4375</v>
      </c>
      <c r="E1433" s="22" t="s">
        <v>4376</v>
      </c>
      <c r="F1433" s="22" t="s">
        <v>4377</v>
      </c>
      <c r="G1433" s="13" t="s">
        <v>369</v>
      </c>
      <c r="H1433" s="40"/>
      <c r="I1433" s="47">
        <v>1745.78</v>
      </c>
      <c r="J1433" s="16" t="s">
        <v>4270</v>
      </c>
    </row>
    <row r="1434" ht="15.75" spans="1:10">
      <c r="A1434" s="10">
        <v>1432</v>
      </c>
      <c r="B1434" s="10" t="s">
        <v>211</v>
      </c>
      <c r="C1434" s="11" t="s">
        <v>4378</v>
      </c>
      <c r="D1434" s="22" t="s">
        <v>4379</v>
      </c>
      <c r="E1434" s="20"/>
      <c r="F1434" s="20"/>
      <c r="G1434" s="13" t="s">
        <v>369</v>
      </c>
      <c r="H1434" s="20"/>
      <c r="I1434" s="51">
        <f>1746*0.3</f>
        <v>523.8</v>
      </c>
      <c r="J1434" s="16" t="s">
        <v>4270</v>
      </c>
    </row>
    <row r="1435" ht="42.75" spans="1:10">
      <c r="A1435" s="10">
        <v>1433</v>
      </c>
      <c r="B1435" s="10" t="s">
        <v>11</v>
      </c>
      <c r="C1435" s="10" t="s">
        <v>4380</v>
      </c>
      <c r="D1435" s="22" t="s">
        <v>4381</v>
      </c>
      <c r="E1435" s="22" t="s">
        <v>4382</v>
      </c>
      <c r="F1435" s="22" t="s">
        <v>4383</v>
      </c>
      <c r="G1435" s="13" t="s">
        <v>16</v>
      </c>
      <c r="H1435" s="20"/>
      <c r="I1435" s="47">
        <v>144.32</v>
      </c>
      <c r="J1435" s="16" t="s">
        <v>4270</v>
      </c>
    </row>
    <row r="1436" ht="30" spans="1:10">
      <c r="A1436" s="10">
        <v>1434</v>
      </c>
      <c r="B1436" s="10" t="s">
        <v>11</v>
      </c>
      <c r="C1436" s="10" t="s">
        <v>4384</v>
      </c>
      <c r="D1436" s="22" t="s">
        <v>4385</v>
      </c>
      <c r="E1436" s="20"/>
      <c r="F1436" s="20"/>
      <c r="G1436" s="13" t="s">
        <v>16</v>
      </c>
      <c r="H1436" s="20"/>
      <c r="I1436" s="47">
        <v>144.32</v>
      </c>
      <c r="J1436" s="16" t="s">
        <v>4270</v>
      </c>
    </row>
    <row r="1437" ht="57" spans="1:10">
      <c r="A1437" s="10">
        <v>1435</v>
      </c>
      <c r="B1437" s="10" t="s">
        <v>211</v>
      </c>
      <c r="C1437" s="10" t="s">
        <v>4386</v>
      </c>
      <c r="D1437" s="22" t="s">
        <v>4387</v>
      </c>
      <c r="E1437" s="22" t="s">
        <v>4388</v>
      </c>
      <c r="F1437" s="22" t="s">
        <v>4389</v>
      </c>
      <c r="G1437" s="13" t="s">
        <v>369</v>
      </c>
      <c r="H1437" s="20"/>
      <c r="I1437" s="47">
        <v>1748</v>
      </c>
      <c r="J1437" s="16" t="s">
        <v>4270</v>
      </c>
    </row>
    <row r="1438" ht="30" spans="1:10">
      <c r="A1438" s="10">
        <v>1436</v>
      </c>
      <c r="B1438" s="10" t="s">
        <v>211</v>
      </c>
      <c r="C1438" s="10" t="s">
        <v>4390</v>
      </c>
      <c r="D1438" s="22" t="s">
        <v>4391</v>
      </c>
      <c r="E1438" s="20"/>
      <c r="F1438" s="20"/>
      <c r="G1438" s="13" t="s">
        <v>369</v>
      </c>
      <c r="H1438" s="20"/>
      <c r="I1438" s="51">
        <f>1748*0.3</f>
        <v>524.4</v>
      </c>
      <c r="J1438" s="16" t="s">
        <v>4270</v>
      </c>
    </row>
    <row r="1439" ht="57" spans="1:10">
      <c r="A1439" s="10">
        <v>1437</v>
      </c>
      <c r="B1439" s="10" t="s">
        <v>211</v>
      </c>
      <c r="C1439" s="10" t="s">
        <v>4392</v>
      </c>
      <c r="D1439" s="22" t="s">
        <v>4393</v>
      </c>
      <c r="E1439" s="22" t="s">
        <v>4394</v>
      </c>
      <c r="F1439" s="22" t="s">
        <v>4389</v>
      </c>
      <c r="G1439" s="13" t="s">
        <v>369</v>
      </c>
      <c r="H1439" s="22" t="s">
        <v>4395</v>
      </c>
      <c r="I1439" s="47">
        <v>3978</v>
      </c>
      <c r="J1439" s="16" t="s">
        <v>4270</v>
      </c>
    </row>
    <row r="1440" ht="30" spans="1:10">
      <c r="A1440" s="10">
        <v>1438</v>
      </c>
      <c r="B1440" s="10" t="s">
        <v>211</v>
      </c>
      <c r="C1440" s="10" t="s">
        <v>4396</v>
      </c>
      <c r="D1440" s="22" t="s">
        <v>4397</v>
      </c>
      <c r="E1440" s="20"/>
      <c r="F1440" s="20"/>
      <c r="G1440" s="13" t="s">
        <v>369</v>
      </c>
      <c r="H1440" s="20"/>
      <c r="I1440" s="51">
        <f>3978*0.3</f>
        <v>1193.4</v>
      </c>
      <c r="J1440" s="16" t="s">
        <v>4270</v>
      </c>
    </row>
    <row r="1441" ht="60" spans="1:10">
      <c r="A1441" s="10">
        <v>1439</v>
      </c>
      <c r="B1441" s="10" t="s">
        <v>211</v>
      </c>
      <c r="C1441" s="10" t="s">
        <v>4398</v>
      </c>
      <c r="D1441" s="22" t="s">
        <v>4399</v>
      </c>
      <c r="E1441" s="22" t="s">
        <v>4400</v>
      </c>
      <c r="F1441" s="22" t="s">
        <v>4389</v>
      </c>
      <c r="G1441" s="13" t="s">
        <v>369</v>
      </c>
      <c r="H1441" s="22" t="s">
        <v>3569</v>
      </c>
      <c r="I1441" s="47">
        <v>2499</v>
      </c>
      <c r="J1441" s="16" t="s">
        <v>4270</v>
      </c>
    </row>
    <row r="1442" ht="30" spans="1:10">
      <c r="A1442" s="10">
        <v>1440</v>
      </c>
      <c r="B1442" s="10" t="s">
        <v>211</v>
      </c>
      <c r="C1442" s="10" t="s">
        <v>4401</v>
      </c>
      <c r="D1442" s="22" t="s">
        <v>4402</v>
      </c>
      <c r="E1442" s="20"/>
      <c r="F1442" s="20"/>
      <c r="G1442" s="13" t="s">
        <v>369</v>
      </c>
      <c r="H1442" s="10"/>
      <c r="I1442" s="51">
        <f>2499*0.3</f>
        <v>749.7</v>
      </c>
      <c r="J1442" s="16" t="s">
        <v>4270</v>
      </c>
    </row>
    <row r="1443" ht="60" spans="1:10">
      <c r="A1443" s="10">
        <v>1441</v>
      </c>
      <c r="B1443" s="10" t="s">
        <v>211</v>
      </c>
      <c r="C1443" s="10" t="s">
        <v>4403</v>
      </c>
      <c r="D1443" s="22" t="s">
        <v>4404</v>
      </c>
      <c r="E1443" s="20"/>
      <c r="F1443" s="20"/>
      <c r="G1443" s="13" t="s">
        <v>369</v>
      </c>
      <c r="H1443" s="22" t="s">
        <v>3569</v>
      </c>
      <c r="I1443" s="47">
        <v>2499</v>
      </c>
      <c r="J1443" s="16" t="s">
        <v>4270</v>
      </c>
    </row>
    <row r="1444" ht="105.75" spans="1:10">
      <c r="A1444" s="10">
        <v>1442</v>
      </c>
      <c r="B1444" s="10" t="s">
        <v>211</v>
      </c>
      <c r="C1444" s="10" t="s">
        <v>4405</v>
      </c>
      <c r="D1444" s="22" t="s">
        <v>4406</v>
      </c>
      <c r="E1444" s="22" t="s">
        <v>4407</v>
      </c>
      <c r="F1444" s="22" t="s">
        <v>4389</v>
      </c>
      <c r="G1444" s="13" t="s">
        <v>369</v>
      </c>
      <c r="H1444" s="20" t="s">
        <v>4408</v>
      </c>
      <c r="I1444" s="47">
        <v>4138</v>
      </c>
      <c r="J1444" s="16" t="s">
        <v>4270</v>
      </c>
    </row>
    <row r="1445" ht="30" spans="1:10">
      <c r="A1445" s="10">
        <v>1443</v>
      </c>
      <c r="B1445" s="10" t="s">
        <v>211</v>
      </c>
      <c r="C1445" s="10" t="s">
        <v>4409</v>
      </c>
      <c r="D1445" s="22" t="s">
        <v>4410</v>
      </c>
      <c r="E1445" s="20"/>
      <c r="F1445" s="20"/>
      <c r="G1445" s="13" t="s">
        <v>369</v>
      </c>
      <c r="H1445" s="10"/>
      <c r="I1445" s="51">
        <f>4138*0.3</f>
        <v>1241.4</v>
      </c>
      <c r="J1445" s="16" t="s">
        <v>4270</v>
      </c>
    </row>
    <row r="1446" ht="105.75" spans="1:10">
      <c r="A1446" s="10">
        <v>1444</v>
      </c>
      <c r="B1446" s="10" t="s">
        <v>211</v>
      </c>
      <c r="C1446" s="10" t="s">
        <v>4411</v>
      </c>
      <c r="D1446" s="22" t="s">
        <v>4412</v>
      </c>
      <c r="E1446" s="20"/>
      <c r="F1446" s="20"/>
      <c r="G1446" s="13" t="s">
        <v>369</v>
      </c>
      <c r="H1446" s="20" t="s">
        <v>4408</v>
      </c>
      <c r="I1446" s="47">
        <v>2499</v>
      </c>
      <c r="J1446" s="16" t="s">
        <v>4270</v>
      </c>
    </row>
    <row r="1447" ht="57" spans="1:10">
      <c r="A1447" s="10">
        <v>1445</v>
      </c>
      <c r="B1447" s="10" t="s">
        <v>211</v>
      </c>
      <c r="C1447" s="10" t="s">
        <v>4413</v>
      </c>
      <c r="D1447" s="22" t="s">
        <v>4414</v>
      </c>
      <c r="E1447" s="22" t="s">
        <v>4415</v>
      </c>
      <c r="F1447" s="22" t="s">
        <v>4389</v>
      </c>
      <c r="G1447" s="13" t="s">
        <v>16</v>
      </c>
      <c r="H1447" s="20"/>
      <c r="I1447" s="47">
        <v>1778.58</v>
      </c>
      <c r="J1447" s="16" t="s">
        <v>4270</v>
      </c>
    </row>
    <row r="1448" ht="30" spans="1:10">
      <c r="A1448" s="10">
        <v>1446</v>
      </c>
      <c r="B1448" s="10" t="s">
        <v>211</v>
      </c>
      <c r="C1448" s="10" t="s">
        <v>4416</v>
      </c>
      <c r="D1448" s="22" t="s">
        <v>4417</v>
      </c>
      <c r="E1448" s="20"/>
      <c r="F1448" s="20"/>
      <c r="G1448" s="13" t="s">
        <v>16</v>
      </c>
      <c r="H1448" s="20"/>
      <c r="I1448" s="51">
        <f>1779*0.3</f>
        <v>533.7</v>
      </c>
      <c r="J1448" s="16" t="s">
        <v>4270</v>
      </c>
    </row>
    <row r="1449" ht="30" spans="1:10">
      <c r="A1449" s="10">
        <v>1447</v>
      </c>
      <c r="B1449" s="10" t="s">
        <v>211</v>
      </c>
      <c r="C1449" s="10" t="s">
        <v>4418</v>
      </c>
      <c r="D1449" s="22" t="s">
        <v>4419</v>
      </c>
      <c r="E1449" s="20"/>
      <c r="F1449" s="20"/>
      <c r="G1449" s="13" t="s">
        <v>16</v>
      </c>
      <c r="H1449" s="20"/>
      <c r="I1449" s="47">
        <v>890</v>
      </c>
      <c r="J1449" s="16" t="s">
        <v>4270</v>
      </c>
    </row>
    <row r="1450" ht="57" spans="1:10">
      <c r="A1450" s="10">
        <v>1448</v>
      </c>
      <c r="B1450" s="10" t="s">
        <v>211</v>
      </c>
      <c r="C1450" s="10" t="s">
        <v>4420</v>
      </c>
      <c r="D1450" s="22" t="s">
        <v>4421</v>
      </c>
      <c r="E1450" s="22" t="s">
        <v>4422</v>
      </c>
      <c r="F1450" s="22" t="s">
        <v>4423</v>
      </c>
      <c r="G1450" s="98" t="s">
        <v>16</v>
      </c>
      <c r="H1450" s="20"/>
      <c r="I1450" s="47">
        <v>1197</v>
      </c>
      <c r="J1450" s="16" t="s">
        <v>4270</v>
      </c>
    </row>
    <row r="1451" ht="30" spans="1:10">
      <c r="A1451" s="10">
        <v>1449</v>
      </c>
      <c r="B1451" s="10" t="s">
        <v>211</v>
      </c>
      <c r="C1451" s="10" t="s">
        <v>4424</v>
      </c>
      <c r="D1451" s="22" t="s">
        <v>4425</v>
      </c>
      <c r="E1451" s="20"/>
      <c r="F1451" s="20"/>
      <c r="G1451" s="13" t="s">
        <v>16</v>
      </c>
      <c r="H1451" s="20"/>
      <c r="I1451" s="51">
        <f>1197*0.3</f>
        <v>359.1</v>
      </c>
      <c r="J1451" s="16" t="s">
        <v>4270</v>
      </c>
    </row>
    <row r="1452" ht="30" spans="1:10">
      <c r="A1452" s="10">
        <v>1450</v>
      </c>
      <c r="B1452" s="10" t="s">
        <v>211</v>
      </c>
      <c r="C1452" s="10" t="s">
        <v>4426</v>
      </c>
      <c r="D1452" s="22" t="s">
        <v>4427</v>
      </c>
      <c r="E1452" s="20"/>
      <c r="F1452" s="20"/>
      <c r="G1452" s="13" t="s">
        <v>16</v>
      </c>
      <c r="H1452" s="20"/>
      <c r="I1452" s="47">
        <v>1197</v>
      </c>
      <c r="J1452" s="16" t="s">
        <v>4270</v>
      </c>
    </row>
    <row r="1453" ht="30" spans="1:10">
      <c r="A1453" s="10">
        <v>1451</v>
      </c>
      <c r="B1453" s="10" t="s">
        <v>211</v>
      </c>
      <c r="C1453" s="10" t="s">
        <v>4428</v>
      </c>
      <c r="D1453" s="22" t="s">
        <v>4429</v>
      </c>
      <c r="E1453" s="20"/>
      <c r="F1453" s="20"/>
      <c r="G1453" s="98" t="s">
        <v>16</v>
      </c>
      <c r="H1453" s="20"/>
      <c r="I1453" s="47">
        <v>1197</v>
      </c>
      <c r="J1453" s="16" t="s">
        <v>4270</v>
      </c>
    </row>
    <row r="1454" ht="57" spans="1:10">
      <c r="A1454" s="10">
        <v>1452</v>
      </c>
      <c r="B1454" s="10" t="s">
        <v>211</v>
      </c>
      <c r="C1454" s="10" t="s">
        <v>4430</v>
      </c>
      <c r="D1454" s="22" t="s">
        <v>4431</v>
      </c>
      <c r="E1454" s="22" t="s">
        <v>4432</v>
      </c>
      <c r="F1454" s="22" t="s">
        <v>3740</v>
      </c>
      <c r="G1454" s="13" t="s">
        <v>16</v>
      </c>
      <c r="H1454" s="20"/>
      <c r="I1454" s="47">
        <v>1482.56</v>
      </c>
      <c r="J1454" s="16" t="s">
        <v>4270</v>
      </c>
    </row>
    <row r="1455" ht="30" spans="1:10">
      <c r="A1455" s="10">
        <v>1453</v>
      </c>
      <c r="B1455" s="10" t="s">
        <v>211</v>
      </c>
      <c r="C1455" s="10" t="s">
        <v>4433</v>
      </c>
      <c r="D1455" s="22" t="s">
        <v>4434</v>
      </c>
      <c r="E1455" s="14"/>
      <c r="F1455" s="14"/>
      <c r="G1455" s="13" t="s">
        <v>16</v>
      </c>
      <c r="H1455" s="14"/>
      <c r="I1455" s="51">
        <f>1483*0.3</f>
        <v>444.9</v>
      </c>
      <c r="J1455" s="16" t="s">
        <v>4270</v>
      </c>
    </row>
  </sheetData>
  <autoFilter xmlns:etc="http://www.wps.cn/officeDocument/2017/etCustomData" ref="A2:P1455" etc:filterBottomFollowUsedRange="0">
    <extLst/>
  </autoFilter>
  <mergeCells count="1">
    <mergeCell ref="A1:I1"/>
  </mergeCells>
  <conditionalFormatting sqref="D315:D316">
    <cfRule type="duplicateValues" dxfId="0" priority="1"/>
  </conditionalFormatting>
  <conditionalFormatting sqref="D292:D306 D311:D314 D320:D376">
    <cfRule type="duplicateValues" dxfId="0" priority="3"/>
  </conditionalFormatting>
  <conditionalFormatting sqref="D309:E310">
    <cfRule type="duplicateValues" dxfId="0" priority="2"/>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kiki</cp:lastModifiedBy>
  <dcterms:created xsi:type="dcterms:W3CDTF">2026-06-25T02:19:00Z</dcterms:created>
  <dcterms:modified xsi:type="dcterms:W3CDTF">2026-06-29T08:34:59Z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0186986E5AE64618A376F323145D58B1_12</vt:lpwstr>
  </property>
  <property fmtid="{D5CDD505-2E9C-101B-9397-08002B2CF9AE}" pid="3" name="KSOProductBuildVer">
    <vt:lpwstr>2052-12.1.0.26895</vt:lpwstr>
  </property>
  <property fmtid="{D5CDD505-2E9C-101B-9397-08002B2CF9AE}" pid="4" name="CalculationRule">
    <vt:i4>0</vt:i4>
  </property>
</Properties>
</file>